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\\ccsvsdc\Dati\Scambio\DELIBERE CONSIGLIO\2021\"/>
    </mc:Choice>
  </mc:AlternateContent>
  <xr:revisionPtr revIDLastSave="0" documentId="13_ncr:1_{2C88F489-AB7C-458D-8F99-C43A72BD7F16}" xr6:coauthVersionLast="47" xr6:coauthVersionMax="47" xr10:uidLastSave="{00000000-0000-0000-0000-000000000000}"/>
  <bookViews>
    <workbookView xWindow="-110" yWindow="-110" windowWidth="19420" windowHeight="10420" tabRatio="1000" firstSheet="9" activeTab="20" xr2:uid="{00000000-000D-0000-FFFF-FFFF00000000}"/>
  </bookViews>
  <sheets>
    <sheet name="Comuni" sheetId="2" r:id="rId1"/>
    <sheet name="PEF-24 Tariffa" sheetId="4" r:id="rId2"/>
    <sheet name="VOLTAGGIO" sheetId="37" r:id="rId3"/>
    <sheet name="VILLAROMAGNANO" sheetId="36" r:id="rId4"/>
    <sheet name="VIGUZZOLO" sheetId="35" r:id="rId5"/>
    <sheet name="TASSAROLO" sheetId="33" r:id="rId6"/>
    <sheet name="SERRAVALLE SCRIVIA" sheetId="31" r:id="rId7"/>
    <sheet name="SARDIGLIANO" sheetId="30" r:id="rId8"/>
    <sheet name="SALE" sheetId="29" r:id="rId9"/>
    <sheet name="PREDOSA" sheetId="28" r:id="rId10"/>
    <sheet name="POZZOLO FORMIGARO" sheetId="27" r:id="rId11"/>
    <sheet name="PONTECURONE" sheetId="26" r:id="rId12"/>
    <sheet name="PASTURANA" sheetId="25" r:id="rId13"/>
    <sheet name="PARODI LIGURE" sheetId="24" r:id="rId14"/>
    <sheet name="MOLINO DEI TORTI" sheetId="22" r:id="rId15"/>
    <sheet name="ISOLA SANT'ANTONIO" sheetId="21" r:id="rId16"/>
    <sheet name="FRESONARA" sheetId="18" r:id="rId17"/>
    <sheet name="FRANCAVILLA BISIO" sheetId="17" r:id="rId18"/>
    <sheet name="FRACONALTO" sheetId="16" r:id="rId19"/>
    <sheet name="CASTELLAZZO BORMIDA" sheetId="14" r:id="rId20"/>
    <sheet name="CASSANO SPINOLA" sheetId="12" r:id="rId21"/>
    <sheet name="CARROSIO" sheetId="11" r:id="rId22"/>
    <sheet name="CAREZZANO" sheetId="10" r:id="rId23"/>
    <sheet name="CAPRIATA D'ORBA" sheetId="8" r:id="rId24"/>
    <sheet name="BASALUZZO" sheetId="7" r:id="rId25"/>
    <sheet name="ALLUVIONI PIOVERA" sheetId="5" r:id="rId26"/>
    <sheet name="Foglio1" sheetId="38" r:id="rId27"/>
    <sheet name="Foglio2" sheetId="39" r:id="rId28"/>
  </sheets>
  <definedNames>
    <definedName name="_xlnm.Print_Area" localSheetId="25">'ALLUVIONI PIOVERA'!$D$6:$G$120</definedName>
    <definedName name="_xlnm.Print_Area" localSheetId="24">BASALUZZO!$D$6:$G$120</definedName>
    <definedName name="_xlnm.Print_Area" localSheetId="23">'CAPRIATA D''ORBA'!$D$6:$G$120</definedName>
    <definedName name="_xlnm.Print_Area" localSheetId="22">CAREZZANO!$D$6:$G$120</definedName>
    <definedName name="_xlnm.Print_Area" localSheetId="21">CARROSIO!$D$6:$G$120</definedName>
    <definedName name="_xlnm.Print_Area" localSheetId="20">'CASSANO SPINOLA'!$D$6:$G$120</definedName>
    <definedName name="_xlnm.Print_Area" localSheetId="19">'CASTELLAZZO BORMIDA'!$D$6:$G$120</definedName>
    <definedName name="_xlnm.Print_Area" localSheetId="18">FRACONALTO!$D$6:$G$120</definedName>
    <definedName name="_xlnm.Print_Area" localSheetId="17">'FRANCAVILLA BISIO'!$D$6:$G$120</definedName>
    <definedName name="_xlnm.Print_Area" localSheetId="16">FRESONARA!$D$6:$G$120</definedName>
    <definedName name="_xlnm.Print_Area" localSheetId="15">'ISOLA SANT''ANTONIO'!$D$6:$G$120</definedName>
    <definedName name="_xlnm.Print_Area" localSheetId="14">'MOLINO DEI TORTI'!$D$6:$G$120</definedName>
    <definedName name="_xlnm.Print_Area" localSheetId="13">'PARODI LIGURE'!$D$6:$G$120</definedName>
    <definedName name="_xlnm.Print_Area" localSheetId="12">PASTURANA!$D$6:$G$120</definedName>
    <definedName name="_xlnm.Print_Area" localSheetId="1">'PEF-24 Tariffa'!$D$6:$G$120</definedName>
    <definedName name="_xlnm.Print_Area" localSheetId="11">PONTECURONE!$D$6:$G$120</definedName>
    <definedName name="_xlnm.Print_Area" localSheetId="10">'POZZOLO FORMIGARO'!$D$6:$G$120</definedName>
    <definedName name="_xlnm.Print_Area" localSheetId="9">PREDOSA!$D$6:$G$120</definedName>
    <definedName name="_xlnm.Print_Area" localSheetId="8">SALE!$D$6:$G$120</definedName>
    <definedName name="_xlnm.Print_Area" localSheetId="7">SARDIGLIANO!$D$6:$G$120</definedName>
    <definedName name="_xlnm.Print_Area" localSheetId="6">'SERRAVALLE SCRIVIA'!$D$6:$G$120</definedName>
    <definedName name="_xlnm.Print_Area" localSheetId="5">TASSAROLO!$D$6:$G$120</definedName>
    <definedName name="_xlnm.Print_Area" localSheetId="4">VIGUZZOLO!$D$6:$G$120</definedName>
    <definedName name="_xlnm.Print_Area" localSheetId="3">VILLAROMAGNANO!$D$6:$G$120</definedName>
    <definedName name="_xlnm.Print_Area" localSheetId="2">VOLTAGGIO!$D$6:$G$120</definedName>
    <definedName name="_xlnm.Print_Titles" localSheetId="25">'ALLUVIONI PIOVERA'!$A:$C,'ALLUVIONI PIOVERA'!$1:$5</definedName>
    <definedName name="_xlnm.Print_Titles" localSheetId="24">BASALUZZO!$A:$C,BASALUZZO!$1:$5</definedName>
    <definedName name="_xlnm.Print_Titles" localSheetId="23">'CAPRIATA D''ORBA'!$A:$C,'CAPRIATA D''ORBA'!$1:$5</definedName>
    <definedName name="_xlnm.Print_Titles" localSheetId="22">CAREZZANO!$A:$C,CAREZZANO!$1:$5</definedName>
    <definedName name="_xlnm.Print_Titles" localSheetId="21">CARROSIO!$A:$C,CARROSIO!$1:$5</definedName>
    <definedName name="_xlnm.Print_Titles" localSheetId="20">'CASSANO SPINOLA'!$A:$C,'CASSANO SPINOLA'!$1:$5</definedName>
    <definedName name="_xlnm.Print_Titles" localSheetId="19">'CASTELLAZZO BORMIDA'!$A:$C,'CASTELLAZZO BORMIDA'!$1:$5</definedName>
    <definedName name="_xlnm.Print_Titles" localSheetId="18">FRACONALTO!$A:$C,FRACONALTO!$1:$5</definedName>
    <definedName name="_xlnm.Print_Titles" localSheetId="17">'FRANCAVILLA BISIO'!$A:$C,'FRANCAVILLA BISIO'!$1:$5</definedName>
    <definedName name="_xlnm.Print_Titles" localSheetId="16">FRESONARA!$A:$C,FRESONARA!$1:$5</definedName>
    <definedName name="_xlnm.Print_Titles" localSheetId="15">'ISOLA SANT''ANTONIO'!$A:$C,'ISOLA SANT''ANTONIO'!$1:$5</definedName>
    <definedName name="_xlnm.Print_Titles" localSheetId="14">'MOLINO DEI TORTI'!$A:$C,'MOLINO DEI TORTI'!$1:$5</definedName>
    <definedName name="_xlnm.Print_Titles" localSheetId="13">'PARODI LIGURE'!$A:$C,'PARODI LIGURE'!$1:$5</definedName>
    <definedName name="_xlnm.Print_Titles" localSheetId="12">PASTURANA!$A:$C,PASTURANA!$1:$5</definedName>
    <definedName name="_xlnm.Print_Titles" localSheetId="1">'PEF-24 Tariffa'!$A:$C,'PEF-24 Tariffa'!$1:$5</definedName>
    <definedName name="_xlnm.Print_Titles" localSheetId="11">PONTECURONE!$A:$C,PONTECURONE!$1:$5</definedName>
    <definedName name="_xlnm.Print_Titles" localSheetId="10">'POZZOLO FORMIGARO'!$A:$C,'POZZOLO FORMIGARO'!$1:$5</definedName>
    <definedName name="_xlnm.Print_Titles" localSheetId="9">PREDOSA!$A:$C,PREDOSA!$1:$5</definedName>
    <definedName name="_xlnm.Print_Titles" localSheetId="8">SALE!$A:$C,SALE!$1:$5</definedName>
    <definedName name="_xlnm.Print_Titles" localSheetId="7">SARDIGLIANO!$A:$C,SARDIGLIANO!$1:$5</definedName>
    <definedName name="_xlnm.Print_Titles" localSheetId="6">'SERRAVALLE SCRIVIA'!$A:$C,'SERRAVALLE SCRIVIA'!$1:$5</definedName>
    <definedName name="_xlnm.Print_Titles" localSheetId="5">TASSAROLO!$A:$C,TASSAROLO!$1:$5</definedName>
    <definedName name="_xlnm.Print_Titles" localSheetId="4">VIGUZZOLO!$A:$C,VIGUZZOLO!$1:$5</definedName>
    <definedName name="_xlnm.Print_Titles" localSheetId="3">VILLAROMAGNANO!$A:$C,VILLAROMAGNANO!$1:$5</definedName>
    <definedName name="_xlnm.Print_Titles" localSheetId="2">VOLTAGGIO!$A:$C,VOLTAGGIO!$1:$5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D1" i="2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G15" i="5" l="1"/>
  <c r="F82" i="5"/>
  <c r="G82" i="5" s="1"/>
  <c r="F12" i="5"/>
  <c r="F81" i="5"/>
  <c r="G81" i="5" s="1"/>
  <c r="G12" i="5" l="1"/>
  <c r="G63" i="5"/>
  <c r="G46" i="5"/>
  <c r="G55" i="5"/>
  <c r="E29" i="5"/>
  <c r="G65" i="5"/>
  <c r="E13" i="5"/>
  <c r="G107" i="5"/>
  <c r="F15" i="5"/>
  <c r="G92" i="5"/>
  <c r="G93" i="5" s="1"/>
  <c r="F60" i="5"/>
  <c r="E68" i="5"/>
  <c r="F80" i="5"/>
  <c r="E83" i="5"/>
  <c r="E84" i="5" s="1"/>
  <c r="G57" i="5"/>
  <c r="E41" i="5"/>
  <c r="F18" i="5"/>
  <c r="F56" i="5"/>
  <c r="E64" i="5"/>
  <c r="F53" i="5"/>
  <c r="G53" i="5"/>
  <c r="E16" i="5"/>
  <c r="G19" i="5"/>
  <c r="E120" i="5"/>
  <c r="E42" i="5"/>
  <c r="F19" i="5"/>
  <c r="E115" i="5"/>
  <c r="F115" i="5"/>
  <c r="E31" i="5"/>
  <c r="G115" i="5" l="1"/>
  <c r="G18" i="5"/>
  <c r="G41" i="5" s="1"/>
  <c r="F41" i="5"/>
  <c r="G120" i="5"/>
  <c r="G42" i="5"/>
  <c r="F64" i="5"/>
  <c r="G56" i="5"/>
  <c r="G64" i="5" s="1"/>
  <c r="F83" i="5"/>
  <c r="F84" i="5" s="1"/>
  <c r="G80" i="5"/>
  <c r="G83" i="5" s="1"/>
  <c r="G84" i="5" s="1"/>
  <c r="F42" i="5"/>
  <c r="F120" i="5"/>
  <c r="F68" i="5"/>
  <c r="G60" i="5"/>
  <c r="G68" i="5" s="1"/>
  <c r="E38" i="5" l="1"/>
  <c r="F81" i="17" l="1"/>
  <c r="G81" i="17" s="1"/>
  <c r="F82" i="17"/>
  <c r="G82" i="17" s="1"/>
  <c r="F81" i="24"/>
  <c r="G81" i="24" s="1"/>
  <c r="G12" i="24" l="1"/>
  <c r="E31" i="17"/>
  <c r="F82" i="31"/>
  <c r="G82" i="31" s="1"/>
  <c r="G65" i="17"/>
  <c r="F56" i="17"/>
  <c r="F81" i="12"/>
  <c r="G81" i="12" s="1"/>
  <c r="F60" i="17"/>
  <c r="E41" i="12"/>
  <c r="E115" i="17"/>
  <c r="G92" i="17"/>
  <c r="G93" i="17" s="1"/>
  <c r="F60" i="31"/>
  <c r="G55" i="12"/>
  <c r="F56" i="24"/>
  <c r="F82" i="24"/>
  <c r="G82" i="24" s="1"/>
  <c r="E68" i="12"/>
  <c r="F60" i="24"/>
  <c r="E42" i="24"/>
  <c r="G53" i="24"/>
  <c r="G107" i="24"/>
  <c r="G12" i="12"/>
  <c r="G65" i="12"/>
  <c r="F82" i="12"/>
  <c r="G82" i="12" s="1"/>
  <c r="E42" i="12"/>
  <c r="F15" i="12"/>
  <c r="G57" i="12"/>
  <c r="G46" i="24"/>
  <c r="G15" i="24"/>
  <c r="F81" i="31"/>
  <c r="G81" i="31" s="1"/>
  <c r="F19" i="31"/>
  <c r="G53" i="31"/>
  <c r="G12" i="31"/>
  <c r="E41" i="31"/>
  <c r="F80" i="31"/>
  <c r="G107" i="31"/>
  <c r="G57" i="17"/>
  <c r="G63" i="17"/>
  <c r="F81" i="27"/>
  <c r="G81" i="27" s="1"/>
  <c r="F82" i="27"/>
  <c r="G82" i="27" s="1"/>
  <c r="F82" i="35"/>
  <c r="G82" i="35" s="1"/>
  <c r="F81" i="35"/>
  <c r="G81" i="35" s="1"/>
  <c r="G12" i="17"/>
  <c r="F12" i="17"/>
  <c r="E13" i="17"/>
  <c r="E41" i="17"/>
  <c r="F18" i="17"/>
  <c r="F81" i="33"/>
  <c r="G81" i="33" s="1"/>
  <c r="F82" i="33"/>
  <c r="G82" i="33" s="1"/>
  <c r="F82" i="16"/>
  <c r="G82" i="16" s="1"/>
  <c r="F81" i="16"/>
  <c r="G81" i="16" s="1"/>
  <c r="G53" i="12"/>
  <c r="F53" i="12"/>
  <c r="F81" i="7"/>
  <c r="G81" i="7" s="1"/>
  <c r="F82" i="7"/>
  <c r="G82" i="7" s="1"/>
  <c r="F81" i="29"/>
  <c r="G81" i="29" s="1"/>
  <c r="F82" i="29"/>
  <c r="G82" i="29" s="1"/>
  <c r="F82" i="8"/>
  <c r="G82" i="8" s="1"/>
  <c r="F81" i="8"/>
  <c r="G81" i="8" s="1"/>
  <c r="E64" i="24"/>
  <c r="F53" i="17"/>
  <c r="G53" i="17"/>
  <c r="F82" i="21"/>
  <c r="G82" i="21" s="1"/>
  <c r="F81" i="21"/>
  <c r="G81" i="21" s="1"/>
  <c r="E13" i="24"/>
  <c r="F82" i="28"/>
  <c r="G82" i="28" s="1"/>
  <c r="F81" i="28"/>
  <c r="G81" i="28" s="1"/>
  <c r="F82" i="22"/>
  <c r="G82" i="22" s="1"/>
  <c r="F81" i="22"/>
  <c r="G81" i="22" s="1"/>
  <c r="F82" i="11"/>
  <c r="G82" i="11" s="1"/>
  <c r="F81" i="11"/>
  <c r="G81" i="11" s="1"/>
  <c r="F82" i="36"/>
  <c r="G82" i="36" s="1"/>
  <c r="F81" i="36"/>
  <c r="G81" i="36" s="1"/>
  <c r="F80" i="24"/>
  <c r="F18" i="24"/>
  <c r="E41" i="24"/>
  <c r="F15" i="17"/>
  <c r="G15" i="17"/>
  <c r="E16" i="17"/>
  <c r="F56" i="31"/>
  <c r="E64" i="31"/>
  <c r="F12" i="12"/>
  <c r="F56" i="12"/>
  <c r="E64" i="12"/>
  <c r="F81" i="14"/>
  <c r="G81" i="14" s="1"/>
  <c r="F82" i="14"/>
  <c r="G82" i="14" s="1"/>
  <c r="F81" i="18"/>
  <c r="G81" i="18" s="1"/>
  <c r="F82" i="18"/>
  <c r="G82" i="18" s="1"/>
  <c r="G57" i="18"/>
  <c r="F81" i="10"/>
  <c r="G81" i="10" s="1"/>
  <c r="F82" i="10"/>
  <c r="G82" i="10" s="1"/>
  <c r="F82" i="37"/>
  <c r="G82" i="37" s="1"/>
  <c r="F81" i="37"/>
  <c r="G81" i="37" s="1"/>
  <c r="F81" i="26"/>
  <c r="G81" i="26" s="1"/>
  <c r="F82" i="26"/>
  <c r="G82" i="26" s="1"/>
  <c r="F81" i="30"/>
  <c r="G81" i="30" s="1"/>
  <c r="F82" i="30"/>
  <c r="G82" i="30" s="1"/>
  <c r="G74" i="4"/>
  <c r="F82" i="25"/>
  <c r="G82" i="25" s="1"/>
  <c r="F81" i="25"/>
  <c r="G81" i="25" s="1"/>
  <c r="E120" i="17"/>
  <c r="G19" i="17"/>
  <c r="E42" i="17"/>
  <c r="F19" i="17"/>
  <c r="G107" i="17"/>
  <c r="E83" i="17"/>
  <c r="E84" i="17" s="1"/>
  <c r="F80" i="17"/>
  <c r="E16" i="31"/>
  <c r="G15" i="31"/>
  <c r="F15" i="31"/>
  <c r="G46" i="31"/>
  <c r="F80" i="12"/>
  <c r="F12" i="24" l="1"/>
  <c r="G55" i="31"/>
  <c r="E29" i="24"/>
  <c r="G46" i="17"/>
  <c r="E68" i="17"/>
  <c r="E68" i="31"/>
  <c r="E29" i="31"/>
  <c r="E29" i="17"/>
  <c r="E38" i="17"/>
  <c r="F115" i="17"/>
  <c r="F18" i="12"/>
  <c r="F19" i="24"/>
  <c r="F42" i="24" s="1"/>
  <c r="F60" i="12"/>
  <c r="G60" i="12" s="1"/>
  <c r="G68" i="12" s="1"/>
  <c r="G55" i="17"/>
  <c r="G115" i="17" s="1"/>
  <c r="E64" i="17"/>
  <c r="G92" i="31"/>
  <c r="G93" i="31" s="1"/>
  <c r="F15" i="24"/>
  <c r="G107" i="12"/>
  <c r="E13" i="12"/>
  <c r="G92" i="12"/>
  <c r="G93" i="12" s="1"/>
  <c r="E68" i="24"/>
  <c r="G19" i="24"/>
  <c r="G42" i="24" s="1"/>
  <c r="E120" i="24"/>
  <c r="E29" i="12"/>
  <c r="E83" i="24"/>
  <c r="E84" i="24" s="1"/>
  <c r="G92" i="24"/>
  <c r="G93" i="24" s="1"/>
  <c r="E42" i="31"/>
  <c r="F53" i="24"/>
  <c r="G46" i="12"/>
  <c r="E31" i="12"/>
  <c r="E38" i="12" s="1"/>
  <c r="F115" i="12"/>
  <c r="G46" i="27"/>
  <c r="F53" i="31"/>
  <c r="F19" i="12"/>
  <c r="F120" i="12" s="1"/>
  <c r="F12" i="31"/>
  <c r="G63" i="31"/>
  <c r="E16" i="12"/>
  <c r="G15" i="12"/>
  <c r="E13" i="31"/>
  <c r="E115" i="12"/>
  <c r="E83" i="31"/>
  <c r="E84" i="31" s="1"/>
  <c r="G63" i="12"/>
  <c r="G115" i="12" s="1"/>
  <c r="E16" i="24"/>
  <c r="G19" i="12"/>
  <c r="G42" i="12" s="1"/>
  <c r="E83" i="12"/>
  <c r="E84" i="12" s="1"/>
  <c r="G19" i="31"/>
  <c r="G120" i="31" s="1"/>
  <c r="E120" i="12"/>
  <c r="E120" i="31"/>
  <c r="G57" i="31"/>
  <c r="E31" i="31"/>
  <c r="E38" i="31" s="1"/>
  <c r="F18" i="31"/>
  <c r="F41" i="31" s="1"/>
  <c r="E31" i="24"/>
  <c r="E38" i="24" s="1"/>
  <c r="E115" i="31"/>
  <c r="G46" i="21"/>
  <c r="G65" i="31"/>
  <c r="F115" i="31"/>
  <c r="G107" i="25"/>
  <c r="G57" i="36"/>
  <c r="G57" i="27"/>
  <c r="G107" i="11"/>
  <c r="G57" i="30"/>
  <c r="G63" i="11"/>
  <c r="G63" i="22"/>
  <c r="G107" i="35"/>
  <c r="G107" i="37"/>
  <c r="G57" i="8"/>
  <c r="G57" i="29"/>
  <c r="G46" i="29"/>
  <c r="G92" i="37"/>
  <c r="G93" i="37" s="1"/>
  <c r="G65" i="7"/>
  <c r="G63" i="27"/>
  <c r="G65" i="8"/>
  <c r="G107" i="29"/>
  <c r="G92" i="33"/>
  <c r="G93" i="33" s="1"/>
  <c r="G65" i="27"/>
  <c r="G107" i="8"/>
  <c r="G92" i="22"/>
  <c r="G93" i="22" s="1"/>
  <c r="G63" i="29"/>
  <c r="G107" i="18"/>
  <c r="G65" i="22"/>
  <c r="G107" i="26"/>
  <c r="E24" i="4"/>
  <c r="G107" i="28"/>
  <c r="E11" i="4"/>
  <c r="G46" i="16"/>
  <c r="G46" i="30"/>
  <c r="E36" i="4"/>
  <c r="G63" i="37"/>
  <c r="E7" i="4"/>
  <c r="E14" i="4"/>
  <c r="G46" i="36"/>
  <c r="E35" i="4"/>
  <c r="E48" i="4"/>
  <c r="G63" i="14"/>
  <c r="G65" i="14"/>
  <c r="G63" i="36"/>
  <c r="G63" i="7"/>
  <c r="G57" i="7"/>
  <c r="G107" i="16"/>
  <c r="E32" i="4"/>
  <c r="E9" i="4"/>
  <c r="E39" i="4"/>
  <c r="E28" i="4"/>
  <c r="G63" i="35"/>
  <c r="G107" i="27"/>
  <c r="G46" i="26"/>
  <c r="F46" i="4"/>
  <c r="E30" i="4"/>
  <c r="E33" i="4"/>
  <c r="F115" i="37"/>
  <c r="G46" i="25"/>
  <c r="G63" i="30"/>
  <c r="E6" i="4"/>
  <c r="E26" i="4"/>
  <c r="E46" i="4"/>
  <c r="G46" i="4" s="1"/>
  <c r="E8" i="4"/>
  <c r="E37" i="4"/>
  <c r="E27" i="4"/>
  <c r="G107" i="36"/>
  <c r="G57" i="22"/>
  <c r="G46" i="28"/>
  <c r="G63" i="8"/>
  <c r="G107" i="7"/>
  <c r="G107" i="33"/>
  <c r="G92" i="25"/>
  <c r="G93" i="25" s="1"/>
  <c r="E34" i="4"/>
  <c r="G107" i="30"/>
  <c r="E10" i="4"/>
  <c r="E25" i="4"/>
  <c r="G46" i="18"/>
  <c r="G92" i="7"/>
  <c r="G93" i="7" s="1"/>
  <c r="G92" i="4"/>
  <c r="G93" i="4" s="1"/>
  <c r="G107" i="4"/>
  <c r="F42" i="31"/>
  <c r="F120" i="31"/>
  <c r="E31" i="25"/>
  <c r="E38" i="25" s="1"/>
  <c r="F53" i="25"/>
  <c r="G53" i="25"/>
  <c r="E29" i="25"/>
  <c r="G15" i="4"/>
  <c r="G12" i="4"/>
  <c r="G65" i="30"/>
  <c r="F80" i="37"/>
  <c r="E83" i="37"/>
  <c r="E84" i="37" s="1"/>
  <c r="E42" i="37"/>
  <c r="G19" i="37"/>
  <c r="E120" i="37"/>
  <c r="F19" i="37"/>
  <c r="F53" i="37"/>
  <c r="G53" i="37"/>
  <c r="G80" i="12"/>
  <c r="G83" i="12" s="1"/>
  <c r="G84" i="12" s="1"/>
  <c r="F83" i="12"/>
  <c r="F84" i="12" s="1"/>
  <c r="F120" i="17"/>
  <c r="F42" i="17"/>
  <c r="G12" i="25"/>
  <c r="F12" i="25"/>
  <c r="E13" i="25"/>
  <c r="F56" i="25"/>
  <c r="E64" i="25"/>
  <c r="F56" i="30"/>
  <c r="E64" i="30"/>
  <c r="F115" i="30"/>
  <c r="G53" i="30"/>
  <c r="F53" i="30"/>
  <c r="G92" i="30"/>
  <c r="G93" i="30" s="1"/>
  <c r="G15" i="26"/>
  <c r="F15" i="26"/>
  <c r="E16" i="26"/>
  <c r="F60" i="26"/>
  <c r="E68" i="26"/>
  <c r="G19" i="26"/>
  <c r="E120" i="26"/>
  <c r="E42" i="26"/>
  <c r="F19" i="26"/>
  <c r="G46" i="37"/>
  <c r="F12" i="37"/>
  <c r="E13" i="37"/>
  <c r="G12" i="37"/>
  <c r="G46" i="10"/>
  <c r="E29" i="10"/>
  <c r="E13" i="10"/>
  <c r="G12" i="10"/>
  <c r="F12" i="10"/>
  <c r="E115" i="10"/>
  <c r="G55" i="10"/>
  <c r="F115" i="10"/>
  <c r="F53" i="10"/>
  <c r="G53" i="10"/>
  <c r="G92" i="10"/>
  <c r="G93" i="10" s="1"/>
  <c r="F18" i="18"/>
  <c r="E41" i="18"/>
  <c r="F19" i="18"/>
  <c r="E120" i="18"/>
  <c r="G19" i="18"/>
  <c r="E42" i="18"/>
  <c r="F15" i="18"/>
  <c r="E16" i="18"/>
  <c r="G15" i="18"/>
  <c r="E29" i="14"/>
  <c r="G46" i="14"/>
  <c r="F56" i="14"/>
  <c r="E64" i="14"/>
  <c r="E31" i="14"/>
  <c r="F53" i="14"/>
  <c r="G53" i="14"/>
  <c r="G92" i="14"/>
  <c r="G93" i="14" s="1"/>
  <c r="G56" i="31"/>
  <c r="G64" i="31" s="1"/>
  <c r="F64" i="31"/>
  <c r="G56" i="17"/>
  <c r="G64" i="17" s="1"/>
  <c r="F64" i="17"/>
  <c r="E31" i="36"/>
  <c r="E38" i="36" s="1"/>
  <c r="F19" i="36"/>
  <c r="E120" i="36"/>
  <c r="G19" i="36"/>
  <c r="E42" i="36"/>
  <c r="E41" i="11"/>
  <c r="F18" i="11"/>
  <c r="E42" i="11"/>
  <c r="F19" i="11"/>
  <c r="G19" i="11"/>
  <c r="E120" i="11"/>
  <c r="F60" i="22"/>
  <c r="E68" i="22"/>
  <c r="E13" i="22"/>
  <c r="F12" i="22"/>
  <c r="G12" i="22"/>
  <c r="F115" i="22"/>
  <c r="G15" i="22"/>
  <c r="F15" i="22"/>
  <c r="E16" i="22"/>
  <c r="E31" i="22"/>
  <c r="E120" i="22"/>
  <c r="F19" i="22"/>
  <c r="E42" i="22"/>
  <c r="G19" i="22"/>
  <c r="E16" i="28"/>
  <c r="G15" i="28"/>
  <c r="F15" i="28"/>
  <c r="E29" i="21"/>
  <c r="F115" i="21"/>
  <c r="G65" i="21"/>
  <c r="F53" i="21"/>
  <c r="G53" i="21"/>
  <c r="G92" i="21"/>
  <c r="G93" i="21" s="1"/>
  <c r="G15" i="8"/>
  <c r="F15" i="8"/>
  <c r="E16" i="8"/>
  <c r="F60" i="8"/>
  <c r="E68" i="8"/>
  <c r="F115" i="8"/>
  <c r="G65" i="29"/>
  <c r="E29" i="29"/>
  <c r="G19" i="7"/>
  <c r="E42" i="7"/>
  <c r="E120" i="7"/>
  <c r="F19" i="7"/>
  <c r="G15" i="7"/>
  <c r="F15" i="7"/>
  <c r="E16" i="7"/>
  <c r="E68" i="7"/>
  <c r="F60" i="7"/>
  <c r="F80" i="7"/>
  <c r="E83" i="7"/>
  <c r="E84" i="7" s="1"/>
  <c r="E13" i="16"/>
  <c r="G12" i="16"/>
  <c r="F12" i="16"/>
  <c r="E115" i="16"/>
  <c r="G55" i="16"/>
  <c r="F18" i="16"/>
  <c r="E41" i="16"/>
  <c r="G57" i="16"/>
  <c r="F19" i="16"/>
  <c r="E120" i="16"/>
  <c r="G19" i="16"/>
  <c r="E42" i="16"/>
  <c r="G19" i="33"/>
  <c r="F19" i="33"/>
  <c r="E120" i="33"/>
  <c r="E42" i="33"/>
  <c r="E41" i="33"/>
  <c r="F18" i="33"/>
  <c r="E83" i="33"/>
  <c r="E84" i="33" s="1"/>
  <c r="F80" i="33"/>
  <c r="F15" i="33"/>
  <c r="E16" i="33"/>
  <c r="G15" i="33"/>
  <c r="E64" i="35"/>
  <c r="F56" i="35"/>
  <c r="G53" i="35"/>
  <c r="F53" i="35"/>
  <c r="G55" i="35"/>
  <c r="F115" i="35"/>
  <c r="E115" i="35"/>
  <c r="G65" i="35"/>
  <c r="E42" i="27"/>
  <c r="F19" i="27"/>
  <c r="G19" i="27"/>
  <c r="E120" i="27"/>
  <c r="E31" i="27"/>
  <c r="E38" i="27" s="1"/>
  <c r="E120" i="4"/>
  <c r="G19" i="4"/>
  <c r="F75" i="4"/>
  <c r="G75" i="4"/>
  <c r="E41" i="26"/>
  <c r="F18" i="26"/>
  <c r="E31" i="26"/>
  <c r="F56" i="26"/>
  <c r="E64" i="26"/>
  <c r="E31" i="37"/>
  <c r="E68" i="37"/>
  <c r="F60" i="37"/>
  <c r="F120" i="24"/>
  <c r="G15" i="10"/>
  <c r="F15" i="10"/>
  <c r="E16" i="10"/>
  <c r="F19" i="10"/>
  <c r="E120" i="10"/>
  <c r="G19" i="10"/>
  <c r="E42" i="10"/>
  <c r="F60" i="25"/>
  <c r="E68" i="25"/>
  <c r="E83" i="25"/>
  <c r="E84" i="25" s="1"/>
  <c r="F80" i="25"/>
  <c r="E83" i="4"/>
  <c r="E84" i="4" s="1"/>
  <c r="F60" i="30"/>
  <c r="E68" i="30"/>
  <c r="E31" i="30"/>
  <c r="F15" i="30"/>
  <c r="G15" i="30"/>
  <c r="E16" i="30"/>
  <c r="G12" i="30"/>
  <c r="F12" i="30"/>
  <c r="E13" i="30"/>
  <c r="E115" i="30"/>
  <c r="G55" i="30"/>
  <c r="E29" i="26"/>
  <c r="F115" i="26"/>
  <c r="F12" i="26"/>
  <c r="E13" i="26"/>
  <c r="G12" i="26"/>
  <c r="G55" i="26"/>
  <c r="E115" i="26"/>
  <c r="G63" i="26"/>
  <c r="F53" i="26"/>
  <c r="G53" i="26"/>
  <c r="G92" i="26"/>
  <c r="G93" i="26" s="1"/>
  <c r="E41" i="37"/>
  <c r="F18" i="37"/>
  <c r="E115" i="37"/>
  <c r="G55" i="37"/>
  <c r="G57" i="37"/>
  <c r="F56" i="37"/>
  <c r="E64" i="37"/>
  <c r="E29" i="37"/>
  <c r="G63" i="10"/>
  <c r="E31" i="10"/>
  <c r="E64" i="10"/>
  <c r="F56" i="10"/>
  <c r="G57" i="10"/>
  <c r="E31" i="18"/>
  <c r="E38" i="18" s="1"/>
  <c r="F53" i="18"/>
  <c r="G53" i="18"/>
  <c r="G92" i="18"/>
  <c r="G93" i="18" s="1"/>
  <c r="E13" i="18"/>
  <c r="F12" i="18"/>
  <c r="G12" i="18"/>
  <c r="E115" i="18"/>
  <c r="G55" i="18"/>
  <c r="F115" i="18"/>
  <c r="F80" i="14"/>
  <c r="E83" i="14"/>
  <c r="E84" i="14" s="1"/>
  <c r="F60" i="14"/>
  <c r="E68" i="14"/>
  <c r="G57" i="14"/>
  <c r="F115" i="14"/>
  <c r="G18" i="24"/>
  <c r="G41" i="24" s="1"/>
  <c r="F41" i="24"/>
  <c r="F12" i="36"/>
  <c r="E13" i="36"/>
  <c r="G12" i="36"/>
  <c r="E115" i="36"/>
  <c r="G55" i="36"/>
  <c r="F56" i="36"/>
  <c r="E64" i="36"/>
  <c r="G53" i="36"/>
  <c r="F53" i="36"/>
  <c r="G92" i="36"/>
  <c r="G93" i="36" s="1"/>
  <c r="E31" i="11"/>
  <c r="E38" i="11" s="1"/>
  <c r="G53" i="11"/>
  <c r="F53" i="11"/>
  <c r="G92" i="11"/>
  <c r="G93" i="11" s="1"/>
  <c r="G65" i="11"/>
  <c r="E29" i="11"/>
  <c r="G46" i="11"/>
  <c r="E13" i="11"/>
  <c r="G12" i="11"/>
  <c r="F12" i="11"/>
  <c r="E115" i="11"/>
  <c r="G55" i="11"/>
  <c r="F115" i="11"/>
  <c r="E115" i="22"/>
  <c r="G55" i="22"/>
  <c r="E29" i="22"/>
  <c r="G46" i="22"/>
  <c r="G107" i="22"/>
  <c r="E41" i="22"/>
  <c r="F18" i="22"/>
  <c r="G63" i="28"/>
  <c r="F12" i="28"/>
  <c r="E13" i="28"/>
  <c r="G12" i="28"/>
  <c r="E115" i="28"/>
  <c r="G55" i="28"/>
  <c r="F115" i="28"/>
  <c r="E31" i="28"/>
  <c r="E38" i="28" s="1"/>
  <c r="F53" i="28"/>
  <c r="G53" i="28"/>
  <c r="G92" i="28"/>
  <c r="G93" i="28" s="1"/>
  <c r="F68" i="24"/>
  <c r="G60" i="24"/>
  <c r="G68" i="24" s="1"/>
  <c r="F80" i="21"/>
  <c r="E83" i="21"/>
  <c r="E84" i="21" s="1"/>
  <c r="E31" i="21"/>
  <c r="F56" i="21"/>
  <c r="E64" i="21"/>
  <c r="G63" i="21"/>
  <c r="G57" i="21"/>
  <c r="G107" i="21"/>
  <c r="F12" i="8"/>
  <c r="E13" i="8"/>
  <c r="G12" i="8"/>
  <c r="F80" i="8"/>
  <c r="E83" i="8"/>
  <c r="E84" i="8" s="1"/>
  <c r="F12" i="29"/>
  <c r="E13" i="29"/>
  <c r="G12" i="29"/>
  <c r="E115" i="29"/>
  <c r="G55" i="29"/>
  <c r="E31" i="29"/>
  <c r="E38" i="29" s="1"/>
  <c r="G53" i="29"/>
  <c r="F53" i="29"/>
  <c r="G92" i="29"/>
  <c r="G93" i="29" s="1"/>
  <c r="F53" i="7"/>
  <c r="G53" i="7"/>
  <c r="F18" i="7"/>
  <c r="E41" i="7"/>
  <c r="E64" i="16"/>
  <c r="F56" i="16"/>
  <c r="E31" i="16"/>
  <c r="E38" i="16" s="1"/>
  <c r="E29" i="16"/>
  <c r="F53" i="33"/>
  <c r="G53" i="33"/>
  <c r="G18" i="17"/>
  <c r="G41" i="17" s="1"/>
  <c r="F41" i="17"/>
  <c r="E31" i="35"/>
  <c r="E38" i="35" s="1"/>
  <c r="G46" i="35"/>
  <c r="F80" i="35"/>
  <c r="E83" i="35"/>
  <c r="E84" i="35" s="1"/>
  <c r="E13" i="35"/>
  <c r="F12" i="27"/>
  <c r="E13" i="27"/>
  <c r="G12" i="27"/>
  <c r="G55" i="27"/>
  <c r="E115" i="27"/>
  <c r="E29" i="27"/>
  <c r="F60" i="27"/>
  <c r="E68" i="27"/>
  <c r="F42" i="12"/>
  <c r="F80" i="26"/>
  <c r="E83" i="26"/>
  <c r="E84" i="26" s="1"/>
  <c r="F83" i="31"/>
  <c r="F84" i="31" s="1"/>
  <c r="G80" i="31"/>
  <c r="G83" i="31" s="1"/>
  <c r="G84" i="31" s="1"/>
  <c r="F68" i="31"/>
  <c r="G60" i="31"/>
  <c r="G68" i="31" s="1"/>
  <c r="G80" i="17"/>
  <c r="G83" i="17" s="1"/>
  <c r="G84" i="17" s="1"/>
  <c r="F83" i="17"/>
  <c r="F84" i="17" s="1"/>
  <c r="F68" i="17"/>
  <c r="G60" i="17"/>
  <c r="G68" i="17" s="1"/>
  <c r="G42" i="17"/>
  <c r="G120" i="17"/>
  <c r="E16" i="25"/>
  <c r="F15" i="25"/>
  <c r="G15" i="25"/>
  <c r="E41" i="25"/>
  <c r="F18" i="25"/>
  <c r="G19" i="25"/>
  <c r="E120" i="25"/>
  <c r="E42" i="25"/>
  <c r="F19" i="25"/>
  <c r="E41" i="30"/>
  <c r="F18" i="30"/>
  <c r="E83" i="30"/>
  <c r="E84" i="30" s="1"/>
  <c r="F80" i="30"/>
  <c r="E29" i="30"/>
  <c r="E42" i="30"/>
  <c r="F19" i="30"/>
  <c r="E120" i="30"/>
  <c r="G19" i="30"/>
  <c r="G65" i="26"/>
  <c r="G57" i="26"/>
  <c r="G65" i="37"/>
  <c r="G15" i="37"/>
  <c r="E16" i="37"/>
  <c r="F15" i="37"/>
  <c r="E41" i="10"/>
  <c r="F18" i="10"/>
  <c r="G107" i="10"/>
  <c r="G65" i="10"/>
  <c r="F60" i="10"/>
  <c r="E68" i="10"/>
  <c r="F80" i="10"/>
  <c r="E83" i="10"/>
  <c r="E84" i="10" s="1"/>
  <c r="G63" i="18"/>
  <c r="E29" i="18"/>
  <c r="G65" i="18"/>
  <c r="E64" i="18"/>
  <c r="F56" i="18"/>
  <c r="G19" i="14"/>
  <c r="E42" i="14"/>
  <c r="F19" i="14"/>
  <c r="E120" i="14"/>
  <c r="G107" i="14"/>
  <c r="F15" i="14"/>
  <c r="G15" i="14"/>
  <c r="E16" i="14"/>
  <c r="E68" i="36"/>
  <c r="F60" i="36"/>
  <c r="F115" i="36"/>
  <c r="G65" i="36"/>
  <c r="E29" i="36"/>
  <c r="E64" i="11"/>
  <c r="F56" i="11"/>
  <c r="G57" i="11"/>
  <c r="E29" i="28"/>
  <c r="G65" i="28"/>
  <c r="F56" i="28"/>
  <c r="E64" i="28"/>
  <c r="E41" i="28"/>
  <c r="F18" i="28"/>
  <c r="G57" i="28"/>
  <c r="F19" i="21"/>
  <c r="G19" i="21"/>
  <c r="E120" i="21"/>
  <c r="E42" i="21"/>
  <c r="E68" i="21"/>
  <c r="F60" i="21"/>
  <c r="G55" i="8"/>
  <c r="E115" i="8"/>
  <c r="G92" i="8"/>
  <c r="G93" i="8" s="1"/>
  <c r="G46" i="8"/>
  <c r="F56" i="29"/>
  <c r="E64" i="29"/>
  <c r="F115" i="29"/>
  <c r="E42" i="29"/>
  <c r="F19" i="29"/>
  <c r="E120" i="29"/>
  <c r="G19" i="29"/>
  <c r="E29" i="7"/>
  <c r="G46" i="7"/>
  <c r="F12" i="7"/>
  <c r="E13" i="7"/>
  <c r="G12" i="7"/>
  <c r="G55" i="7"/>
  <c r="E115" i="7"/>
  <c r="F115" i="7"/>
  <c r="E31" i="7"/>
  <c r="E68" i="16"/>
  <c r="F60" i="16"/>
  <c r="F15" i="16"/>
  <c r="E16" i="16"/>
  <c r="G15" i="16"/>
  <c r="E83" i="16"/>
  <c r="E84" i="16" s="1"/>
  <c r="F80" i="16"/>
  <c r="F115" i="16"/>
  <c r="G65" i="16"/>
  <c r="G63" i="16"/>
  <c r="E29" i="33"/>
  <c r="E31" i="33"/>
  <c r="F12" i="33"/>
  <c r="G12" i="33"/>
  <c r="E13" i="33"/>
  <c r="E64" i="33"/>
  <c r="F56" i="33"/>
  <c r="G46" i="33"/>
  <c r="E29" i="35"/>
  <c r="F15" i="35"/>
  <c r="G15" i="35"/>
  <c r="E16" i="35"/>
  <c r="E41" i="35"/>
  <c r="F18" i="35"/>
  <c r="G92" i="35"/>
  <c r="G93" i="35" s="1"/>
  <c r="E16" i="27"/>
  <c r="G15" i="27"/>
  <c r="F15" i="27"/>
  <c r="E64" i="27"/>
  <c r="F56" i="27"/>
  <c r="F80" i="27"/>
  <c r="E83" i="27"/>
  <c r="E84" i="27" s="1"/>
  <c r="G92" i="27"/>
  <c r="G93" i="27" s="1"/>
  <c r="F41" i="12"/>
  <c r="G18" i="12"/>
  <c r="G41" i="12" s="1"/>
  <c r="E68" i="18"/>
  <c r="F60" i="18"/>
  <c r="F80" i="18"/>
  <c r="E83" i="18"/>
  <c r="E84" i="18" s="1"/>
  <c r="G12" i="14"/>
  <c r="F12" i="14"/>
  <c r="E13" i="14"/>
  <c r="E115" i="14"/>
  <c r="G55" i="14"/>
  <c r="E41" i="14"/>
  <c r="F18" i="14"/>
  <c r="G56" i="12"/>
  <c r="G64" i="12" s="1"/>
  <c r="F64" i="12"/>
  <c r="F83" i="24"/>
  <c r="F84" i="24" s="1"/>
  <c r="G80" i="24"/>
  <c r="G83" i="24" s="1"/>
  <c r="G84" i="24" s="1"/>
  <c r="F15" i="36"/>
  <c r="E16" i="36"/>
  <c r="G15" i="36"/>
  <c r="E41" i="36"/>
  <c r="F18" i="36"/>
  <c r="E83" i="36"/>
  <c r="E84" i="36" s="1"/>
  <c r="F80" i="36"/>
  <c r="E68" i="11"/>
  <c r="F60" i="11"/>
  <c r="F80" i="11"/>
  <c r="E83" i="11"/>
  <c r="E84" i="11" s="1"/>
  <c r="F15" i="11"/>
  <c r="E16" i="11"/>
  <c r="G15" i="11"/>
  <c r="F56" i="22"/>
  <c r="E64" i="22"/>
  <c r="F53" i="22"/>
  <c r="G53" i="22"/>
  <c r="F80" i="22"/>
  <c r="E83" i="22"/>
  <c r="E84" i="22" s="1"/>
  <c r="F19" i="28"/>
  <c r="E120" i="28"/>
  <c r="G19" i="28"/>
  <c r="E42" i="28"/>
  <c r="F60" i="28"/>
  <c r="E68" i="28"/>
  <c r="E83" i="28"/>
  <c r="E84" i="28" s="1"/>
  <c r="F80" i="28"/>
  <c r="E16" i="21"/>
  <c r="G15" i="21"/>
  <c r="F15" i="21"/>
  <c r="G12" i="21"/>
  <c r="F12" i="21"/>
  <c r="E13" i="21"/>
  <c r="E115" i="21"/>
  <c r="G55" i="21"/>
  <c r="F18" i="21"/>
  <c r="E41" i="21"/>
  <c r="F64" i="24"/>
  <c r="G56" i="24"/>
  <c r="G64" i="24" s="1"/>
  <c r="F56" i="8"/>
  <c r="E64" i="8"/>
  <c r="E41" i="8"/>
  <c r="F18" i="8"/>
  <c r="E120" i="8"/>
  <c r="G19" i="8"/>
  <c r="E42" i="8"/>
  <c r="F19" i="8"/>
  <c r="G53" i="8"/>
  <c r="F53" i="8"/>
  <c r="E29" i="8"/>
  <c r="E31" i="8"/>
  <c r="F60" i="29"/>
  <c r="E68" i="29"/>
  <c r="E41" i="29"/>
  <c r="F18" i="29"/>
  <c r="E83" i="29"/>
  <c r="E84" i="29" s="1"/>
  <c r="F80" i="29"/>
  <c r="E16" i="29"/>
  <c r="G15" i="29"/>
  <c r="F15" i="29"/>
  <c r="F56" i="7"/>
  <c r="E64" i="7"/>
  <c r="F53" i="16"/>
  <c r="G53" i="16"/>
  <c r="G92" i="16"/>
  <c r="G93" i="16" s="1"/>
  <c r="F60" i="33"/>
  <c r="E68" i="33"/>
  <c r="G12" i="35"/>
  <c r="F12" i="35"/>
  <c r="F60" i="35"/>
  <c r="E68" i="35"/>
  <c r="E42" i="35"/>
  <c r="G19" i="35"/>
  <c r="E120" i="35"/>
  <c r="F19" i="35"/>
  <c r="G57" i="35"/>
  <c r="E41" i="27"/>
  <c r="F18" i="27"/>
  <c r="F53" i="27"/>
  <c r="G53" i="27"/>
  <c r="F115" i="27"/>
  <c r="G120" i="24" l="1"/>
  <c r="F68" i="12"/>
  <c r="G115" i="31"/>
  <c r="G120" i="12"/>
  <c r="G18" i="31"/>
  <c r="G41" i="31" s="1"/>
  <c r="G42" i="31"/>
  <c r="G115" i="27"/>
  <c r="E29" i="4"/>
  <c r="G115" i="14"/>
  <c r="G115" i="21"/>
  <c r="G115" i="29"/>
  <c r="G115" i="7"/>
  <c r="G115" i="22"/>
  <c r="E31" i="4"/>
  <c r="E38" i="4" s="1"/>
  <c r="G115" i="8"/>
  <c r="G115" i="36"/>
  <c r="E38" i="30"/>
  <c r="G115" i="30"/>
  <c r="G115" i="37"/>
  <c r="E16" i="4"/>
  <c r="E13" i="4"/>
  <c r="G60" i="8"/>
  <c r="G68" i="8" s="1"/>
  <c r="F68" i="8"/>
  <c r="F42" i="22"/>
  <c r="F120" i="22"/>
  <c r="E38" i="22"/>
  <c r="F42" i="11"/>
  <c r="F120" i="11"/>
  <c r="F42" i="36"/>
  <c r="F120" i="36"/>
  <c r="G42" i="18"/>
  <c r="G120" i="18"/>
  <c r="G56" i="25"/>
  <c r="G64" i="25" s="1"/>
  <c r="F64" i="25"/>
  <c r="G42" i="37"/>
  <c r="G120" i="37"/>
  <c r="F68" i="33"/>
  <c r="G60" i="33"/>
  <c r="G68" i="33" s="1"/>
  <c r="G120" i="8"/>
  <c r="G42" i="8"/>
  <c r="G18" i="21"/>
  <c r="G41" i="21" s="1"/>
  <c r="F41" i="21"/>
  <c r="G80" i="22"/>
  <c r="G83" i="22" s="1"/>
  <c r="G84" i="22" s="1"/>
  <c r="F83" i="22"/>
  <c r="F84" i="22" s="1"/>
  <c r="G120" i="29"/>
  <c r="G42" i="29"/>
  <c r="F64" i="29"/>
  <c r="G56" i="29"/>
  <c r="G64" i="29" s="1"/>
  <c r="F42" i="21"/>
  <c r="F120" i="21"/>
  <c r="F41" i="28"/>
  <c r="G18" i="28"/>
  <c r="G41" i="28" s="1"/>
  <c r="F120" i="14"/>
  <c r="F42" i="14"/>
  <c r="G56" i="18"/>
  <c r="G64" i="18" s="1"/>
  <c r="F64" i="18"/>
  <c r="F83" i="10"/>
  <c r="F84" i="10" s="1"/>
  <c r="G80" i="10"/>
  <c r="G83" i="10" s="1"/>
  <c r="G84" i="10" s="1"/>
  <c r="F68" i="10"/>
  <c r="G60" i="10"/>
  <c r="G68" i="10" s="1"/>
  <c r="G120" i="25"/>
  <c r="G42" i="25"/>
  <c r="F41" i="7"/>
  <c r="G18" i="7"/>
  <c r="G41" i="7" s="1"/>
  <c r="G83" i="4"/>
  <c r="G84" i="4" s="1"/>
  <c r="F83" i="4"/>
  <c r="F84" i="4" s="1"/>
  <c r="F64" i="7"/>
  <c r="G56" i="7"/>
  <c r="G64" i="7" s="1"/>
  <c r="F64" i="22"/>
  <c r="G56" i="22"/>
  <c r="G64" i="22" s="1"/>
  <c r="F68" i="11"/>
  <c r="G60" i="11"/>
  <c r="G68" i="11" s="1"/>
  <c r="E38" i="33"/>
  <c r="G60" i="21"/>
  <c r="G68" i="21" s="1"/>
  <c r="F68" i="21"/>
  <c r="F41" i="10"/>
  <c r="G18" i="10"/>
  <c r="G41" i="10" s="1"/>
  <c r="F42" i="30"/>
  <c r="F120" i="30"/>
  <c r="G80" i="30"/>
  <c r="G83" i="30" s="1"/>
  <c r="G84" i="30" s="1"/>
  <c r="F83" i="30"/>
  <c r="F84" i="30" s="1"/>
  <c r="F42" i="25"/>
  <c r="F120" i="25"/>
  <c r="F64" i="16"/>
  <c r="G56" i="16"/>
  <c r="G64" i="16" s="1"/>
  <c r="G56" i="37"/>
  <c r="G64" i="37" s="1"/>
  <c r="F64" i="37"/>
  <c r="F68" i="30"/>
  <c r="G60" i="30"/>
  <c r="G68" i="30" s="1"/>
  <c r="G120" i="10"/>
  <c r="G42" i="10"/>
  <c r="G120" i="4"/>
  <c r="G56" i="35"/>
  <c r="G64" i="35" s="1"/>
  <c r="F64" i="35"/>
  <c r="F83" i="33"/>
  <c r="F84" i="33" s="1"/>
  <c r="G80" i="33"/>
  <c r="G83" i="33" s="1"/>
  <c r="G84" i="33" s="1"/>
  <c r="F41" i="33"/>
  <c r="G18" i="33"/>
  <c r="G41" i="33" s="1"/>
  <c r="F42" i="33"/>
  <c r="F120" i="33"/>
  <c r="G120" i="16"/>
  <c r="G42" i="16"/>
  <c r="F41" i="16"/>
  <c r="G18" i="16"/>
  <c r="G41" i="16" s="1"/>
  <c r="G60" i="22"/>
  <c r="G68" i="22" s="1"/>
  <c r="F68" i="22"/>
  <c r="F64" i="14"/>
  <c r="G56" i="14"/>
  <c r="G64" i="14" s="1"/>
  <c r="G120" i="26"/>
  <c r="G42" i="26"/>
  <c r="F120" i="35"/>
  <c r="F42" i="35"/>
  <c r="F83" i="29"/>
  <c r="F84" i="29" s="1"/>
  <c r="G80" i="29"/>
  <c r="G83" i="29" s="1"/>
  <c r="G84" i="29" s="1"/>
  <c r="F83" i="11"/>
  <c r="F84" i="11" s="1"/>
  <c r="G80" i="11"/>
  <c r="G83" i="11" s="1"/>
  <c r="G84" i="11" s="1"/>
  <c r="G80" i="36"/>
  <c r="G83" i="36" s="1"/>
  <c r="G84" i="36" s="1"/>
  <c r="F83" i="36"/>
  <c r="F84" i="36" s="1"/>
  <c r="F68" i="16"/>
  <c r="G60" i="16"/>
  <c r="G68" i="16" s="1"/>
  <c r="G56" i="11"/>
  <c r="G64" i="11" s="1"/>
  <c r="F64" i="11"/>
  <c r="F68" i="36"/>
  <c r="G60" i="36"/>
  <c r="G68" i="36" s="1"/>
  <c r="G80" i="21"/>
  <c r="G83" i="21" s="1"/>
  <c r="G84" i="21" s="1"/>
  <c r="F83" i="21"/>
  <c r="F84" i="21" s="1"/>
  <c r="G115" i="28"/>
  <c r="F41" i="29"/>
  <c r="G18" i="29"/>
  <c r="G41" i="29" s="1"/>
  <c r="F41" i="27"/>
  <c r="G18" i="27"/>
  <c r="G41" i="27" s="1"/>
  <c r="G60" i="29"/>
  <c r="G68" i="29" s="1"/>
  <c r="F68" i="29"/>
  <c r="G80" i="27"/>
  <c r="G83" i="27" s="1"/>
  <c r="G84" i="27" s="1"/>
  <c r="F83" i="27"/>
  <c r="F84" i="27" s="1"/>
  <c r="F64" i="27"/>
  <c r="G56" i="27"/>
  <c r="G64" i="27" s="1"/>
  <c r="F41" i="35"/>
  <c r="G18" i="35"/>
  <c r="G41" i="35" s="1"/>
  <c r="F83" i="16"/>
  <c r="F84" i="16" s="1"/>
  <c r="G80" i="16"/>
  <c r="G83" i="16" s="1"/>
  <c r="G84" i="16" s="1"/>
  <c r="F42" i="29"/>
  <c r="F120" i="29"/>
  <c r="G120" i="14"/>
  <c r="G42" i="14"/>
  <c r="G18" i="30"/>
  <c r="G41" i="30" s="1"/>
  <c r="F41" i="30"/>
  <c r="G18" i="25"/>
  <c r="G41" i="25" s="1"/>
  <c r="F41" i="25"/>
  <c r="F83" i="26"/>
  <c r="F84" i="26" s="1"/>
  <c r="G80" i="26"/>
  <c r="G83" i="26" s="1"/>
  <c r="G84" i="26" s="1"/>
  <c r="G60" i="27"/>
  <c r="G68" i="27" s="1"/>
  <c r="F68" i="27"/>
  <c r="G80" i="8"/>
  <c r="G83" i="8" s="1"/>
  <c r="G84" i="8" s="1"/>
  <c r="F83" i="8"/>
  <c r="F84" i="8" s="1"/>
  <c r="E38" i="21"/>
  <c r="G115" i="11"/>
  <c r="F83" i="14"/>
  <c r="F84" i="14" s="1"/>
  <c r="G80" i="14"/>
  <c r="G83" i="14" s="1"/>
  <c r="G84" i="14" s="1"/>
  <c r="F41" i="37"/>
  <c r="G18" i="37"/>
  <c r="G41" i="37" s="1"/>
  <c r="G18" i="4"/>
  <c r="G80" i="25"/>
  <c r="G83" i="25" s="1"/>
  <c r="G84" i="25" s="1"/>
  <c r="F83" i="25"/>
  <c r="F84" i="25" s="1"/>
  <c r="G42" i="27"/>
  <c r="G120" i="27"/>
  <c r="G120" i="33"/>
  <c r="G42" i="33"/>
  <c r="G115" i="16"/>
  <c r="F68" i="7"/>
  <c r="G60" i="7"/>
  <c r="G68" i="7" s="1"/>
  <c r="G120" i="7"/>
  <c r="G42" i="7"/>
  <c r="G42" i="22"/>
  <c r="G120" i="22"/>
  <c r="G120" i="36"/>
  <c r="G42" i="36"/>
  <c r="F42" i="18"/>
  <c r="F120" i="18"/>
  <c r="E38" i="37"/>
  <c r="F42" i="26"/>
  <c r="F120" i="26"/>
  <c r="G60" i="4"/>
  <c r="G68" i="4" s="1"/>
  <c r="F120" i="37"/>
  <c r="F42" i="37"/>
  <c r="F68" i="28"/>
  <c r="G60" i="28"/>
  <c r="G68" i="28" s="1"/>
  <c r="F41" i="14"/>
  <c r="G18" i="14"/>
  <c r="G41" i="14" s="1"/>
  <c r="F83" i="18"/>
  <c r="F84" i="18" s="1"/>
  <c r="G80" i="18"/>
  <c r="G83" i="18" s="1"/>
  <c r="G84" i="18" s="1"/>
  <c r="F41" i="22"/>
  <c r="G18" i="22"/>
  <c r="G41" i="22" s="1"/>
  <c r="G56" i="36"/>
  <c r="G64" i="36" s="1"/>
  <c r="F64" i="36"/>
  <c r="G56" i="10"/>
  <c r="G64" i="10" s="1"/>
  <c r="F64" i="10"/>
  <c r="G115" i="26"/>
  <c r="G56" i="26"/>
  <c r="G64" i="26" s="1"/>
  <c r="F64" i="26"/>
  <c r="G18" i="26"/>
  <c r="G41" i="26" s="1"/>
  <c r="F41" i="26"/>
  <c r="F120" i="28"/>
  <c r="F42" i="28"/>
  <c r="F41" i="36"/>
  <c r="G18" i="36"/>
  <c r="G41" i="36" s="1"/>
  <c r="G120" i="35"/>
  <c r="G42" i="35"/>
  <c r="G60" i="35"/>
  <c r="G68" i="35" s="1"/>
  <c r="F68" i="35"/>
  <c r="F120" i="8"/>
  <c r="F42" i="8"/>
  <c r="G56" i="8"/>
  <c r="G64" i="8" s="1"/>
  <c r="F64" i="8"/>
  <c r="F41" i="8"/>
  <c r="G18" i="8"/>
  <c r="G41" i="8" s="1"/>
  <c r="G80" i="28"/>
  <c r="G83" i="28" s="1"/>
  <c r="G84" i="28" s="1"/>
  <c r="F83" i="28"/>
  <c r="F84" i="28" s="1"/>
  <c r="G42" i="28"/>
  <c r="G120" i="28"/>
  <c r="G60" i="18"/>
  <c r="G68" i="18" s="1"/>
  <c r="F68" i="18"/>
  <c r="F64" i="33"/>
  <c r="G56" i="33"/>
  <c r="G64" i="33" s="1"/>
  <c r="G120" i="21"/>
  <c r="G42" i="21"/>
  <c r="F64" i="28"/>
  <c r="G56" i="28"/>
  <c r="G64" i="28" s="1"/>
  <c r="E38" i="10"/>
  <c r="G120" i="30"/>
  <c r="G42" i="30"/>
  <c r="F83" i="35"/>
  <c r="F84" i="35" s="1"/>
  <c r="G80" i="35"/>
  <c r="G83" i="35" s="1"/>
  <c r="G84" i="35" s="1"/>
  <c r="F64" i="21"/>
  <c r="G56" i="21"/>
  <c r="G64" i="21" s="1"/>
  <c r="F68" i="14"/>
  <c r="G60" i="14"/>
  <c r="G68" i="14" s="1"/>
  <c r="E38" i="14"/>
  <c r="G115" i="18"/>
  <c r="G60" i="25"/>
  <c r="G68" i="25" s="1"/>
  <c r="F68" i="25"/>
  <c r="F120" i="10"/>
  <c r="F42" i="10"/>
  <c r="F68" i="37"/>
  <c r="G60" i="37"/>
  <c r="G68" i="37" s="1"/>
  <c r="F120" i="4"/>
  <c r="F120" i="27"/>
  <c r="F42" i="27"/>
  <c r="G115" i="35"/>
  <c r="F120" i="16"/>
  <c r="F42" i="16"/>
  <c r="G80" i="7"/>
  <c r="G83" i="7" s="1"/>
  <c r="G84" i="7" s="1"/>
  <c r="F83" i="7"/>
  <c r="F84" i="7" s="1"/>
  <c r="E38" i="7"/>
  <c r="F42" i="7"/>
  <c r="F120" i="7"/>
  <c r="E38" i="8"/>
  <c r="G42" i="11"/>
  <c r="G120" i="11"/>
  <c r="G18" i="11"/>
  <c r="G41" i="11" s="1"/>
  <c r="F41" i="11"/>
  <c r="G18" i="18"/>
  <c r="G41" i="18" s="1"/>
  <c r="F41" i="18"/>
  <c r="G115" i="10"/>
  <c r="G60" i="26"/>
  <c r="G68" i="26" s="1"/>
  <c r="F68" i="26"/>
  <c r="F64" i="30"/>
  <c r="G56" i="30"/>
  <c r="G64" i="30" s="1"/>
  <c r="G80" i="37"/>
  <c r="G83" i="37" s="1"/>
  <c r="G84" i="37" s="1"/>
  <c r="F83" i="37"/>
  <c r="F84" i="37" s="1"/>
  <c r="E38" i="26"/>
  <c r="G66" i="35" l="1"/>
  <c r="G52" i="36"/>
  <c r="F110" i="36"/>
  <c r="F110" i="37"/>
  <c r="G51" i="35"/>
  <c r="G52" i="37"/>
  <c r="G59" i="33"/>
  <c r="G62" i="37"/>
  <c r="E110" i="37"/>
  <c r="G67" i="37"/>
  <c r="G96" i="35"/>
  <c r="G51" i="36"/>
  <c r="G66" i="36"/>
  <c r="G96" i="33"/>
  <c r="G96" i="36"/>
  <c r="G51" i="37"/>
  <c r="G58" i="33"/>
  <c r="G59" i="35"/>
  <c r="G63" i="33"/>
  <c r="G66" i="37"/>
  <c r="G96" i="37"/>
  <c r="G59" i="36"/>
  <c r="F110" i="33"/>
  <c r="G52" i="33"/>
  <c r="G58" i="35"/>
  <c r="G59" i="37"/>
  <c r="G62" i="33"/>
  <c r="G67" i="33"/>
  <c r="E110" i="33"/>
  <c r="G62" i="36"/>
  <c r="G58" i="36"/>
  <c r="G67" i="36"/>
  <c r="E110" i="36"/>
  <c r="G110" i="36" s="1"/>
  <c r="F110" i="35"/>
  <c r="G51" i="33"/>
  <c r="G52" i="35"/>
  <c r="G55" i="33"/>
  <c r="G58" i="37"/>
  <c r="G62" i="35"/>
  <c r="G66" i="33"/>
  <c r="G67" i="35"/>
  <c r="E110" i="35"/>
  <c r="F114" i="33"/>
  <c r="F114" i="36"/>
  <c r="F114" i="35"/>
  <c r="G57" i="33" l="1"/>
  <c r="G110" i="33"/>
  <c r="F115" i="33"/>
  <c r="G110" i="35"/>
  <c r="G110" i="37"/>
  <c r="E114" i="33"/>
  <c r="G54" i="33"/>
  <c r="G114" i="33" s="1"/>
  <c r="G54" i="36"/>
  <c r="G114" i="36" s="1"/>
  <c r="E114" i="36"/>
  <c r="E114" i="37"/>
  <c r="G54" i="37"/>
  <c r="G114" i="37" s="1"/>
  <c r="F114" i="37"/>
  <c r="E114" i="35"/>
  <c r="G54" i="35"/>
  <c r="G114" i="35" s="1"/>
  <c r="G65" i="33" l="1"/>
  <c r="G115" i="33" s="1"/>
  <c r="E115" i="33"/>
  <c r="G59" i="28" l="1"/>
  <c r="G59" i="10"/>
  <c r="G59" i="18"/>
  <c r="G59" i="26"/>
  <c r="G59" i="16"/>
  <c r="G59" i="8"/>
  <c r="G59" i="7"/>
  <c r="G59" i="24"/>
  <c r="G59" i="21"/>
  <c r="G59" i="29"/>
  <c r="G59" i="14"/>
  <c r="G59" i="22"/>
  <c r="G59" i="30"/>
  <c r="F110" i="14"/>
  <c r="F110" i="22"/>
  <c r="F110" i="30"/>
  <c r="G59" i="5"/>
  <c r="F110" i="8"/>
  <c r="F110" i="16"/>
  <c r="F110" i="24"/>
  <c r="G59" i="31"/>
  <c r="E59" i="4"/>
  <c r="E110" i="5"/>
  <c r="G67" i="5"/>
  <c r="G67" i="21"/>
  <c r="E110" i="21"/>
  <c r="G67" i="29"/>
  <c r="E110" i="29"/>
  <c r="F110" i="7"/>
  <c r="F110" i="31"/>
  <c r="F67" i="4"/>
  <c r="G67" i="30"/>
  <c r="E110" i="30"/>
  <c r="G67" i="22"/>
  <c r="E110" i="22"/>
  <c r="F110" i="17"/>
  <c r="F110" i="25"/>
  <c r="G67" i="12"/>
  <c r="E110" i="12"/>
  <c r="G59" i="25"/>
  <c r="G59" i="11"/>
  <c r="G59" i="27"/>
  <c r="G67" i="8"/>
  <c r="E110" i="8"/>
  <c r="E110" i="16"/>
  <c r="G67" i="16"/>
  <c r="G67" i="24"/>
  <c r="E110" i="24"/>
  <c r="F110" i="10"/>
  <c r="F110" i="18"/>
  <c r="F110" i="26"/>
  <c r="G67" i="14"/>
  <c r="E110" i="14"/>
  <c r="G67" i="7"/>
  <c r="E110" i="7"/>
  <c r="G67" i="31"/>
  <c r="E110" i="31"/>
  <c r="E67" i="4"/>
  <c r="G59" i="12"/>
  <c r="E110" i="17"/>
  <c r="G67" i="17"/>
  <c r="G67" i="25"/>
  <c r="E110" i="25"/>
  <c r="F110" i="11"/>
  <c r="F110" i="27"/>
  <c r="G59" i="17"/>
  <c r="G67" i="10"/>
  <c r="E110" i="10"/>
  <c r="G67" i="18"/>
  <c r="E110" i="18"/>
  <c r="G67" i="26"/>
  <c r="E110" i="26"/>
  <c r="F59" i="4"/>
  <c r="F110" i="12"/>
  <c r="F110" i="28"/>
  <c r="G67" i="28"/>
  <c r="E110" i="28"/>
  <c r="G67" i="11"/>
  <c r="E110" i="11"/>
  <c r="G67" i="27"/>
  <c r="E110" i="27"/>
  <c r="F110" i="5"/>
  <c r="F110" i="21"/>
  <c r="F110" i="29"/>
  <c r="G110" i="5" l="1"/>
  <c r="G110" i="8"/>
  <c r="G110" i="14"/>
  <c r="G110" i="22"/>
  <c r="G110" i="16"/>
  <c r="G110" i="29"/>
  <c r="G110" i="30"/>
  <c r="G67" i="4"/>
  <c r="G110" i="21"/>
  <c r="G110" i="26"/>
  <c r="G110" i="12"/>
  <c r="G110" i="24"/>
  <c r="G110" i="25"/>
  <c r="F110" i="4"/>
  <c r="G110" i="28"/>
  <c r="G110" i="18"/>
  <c r="G110" i="17"/>
  <c r="G110" i="31"/>
  <c r="G110" i="10"/>
  <c r="G110" i="27"/>
  <c r="G110" i="7"/>
  <c r="E110" i="4"/>
  <c r="G59" i="4"/>
  <c r="G110" i="11"/>
  <c r="G110" i="4" l="1"/>
  <c r="G66" i="5" l="1"/>
  <c r="G58" i="11"/>
  <c r="G58" i="27"/>
  <c r="G66" i="8"/>
  <c r="G66" i="16"/>
  <c r="G66" i="24"/>
  <c r="F66" i="4"/>
  <c r="G58" i="12"/>
  <c r="G58" i="28"/>
  <c r="G66" i="17"/>
  <c r="G66" i="25"/>
  <c r="G58" i="5"/>
  <c r="G58" i="21"/>
  <c r="G58" i="29"/>
  <c r="G66" i="10"/>
  <c r="G66" i="18"/>
  <c r="G66" i="26"/>
  <c r="G58" i="14"/>
  <c r="G58" i="22"/>
  <c r="G58" i="30"/>
  <c r="G66" i="11"/>
  <c r="G66" i="27"/>
  <c r="G58" i="7"/>
  <c r="G58" i="31"/>
  <c r="E58" i="4"/>
  <c r="G66" i="12"/>
  <c r="G66" i="28"/>
  <c r="G58" i="8"/>
  <c r="G58" i="16"/>
  <c r="G58" i="24"/>
  <c r="G66" i="21"/>
  <c r="G66" i="29"/>
  <c r="F58" i="4"/>
  <c r="G58" i="17"/>
  <c r="G58" i="25"/>
  <c r="G66" i="14"/>
  <c r="G66" i="22"/>
  <c r="G66" i="30"/>
  <c r="G58" i="10"/>
  <c r="G58" i="18"/>
  <c r="G58" i="26"/>
  <c r="G66" i="7"/>
  <c r="G66" i="31"/>
  <c r="E66" i="4"/>
  <c r="G66" i="4" l="1"/>
  <c r="G58" i="4"/>
  <c r="G62" i="27" l="1"/>
  <c r="G51" i="7"/>
  <c r="G62" i="12"/>
  <c r="G62" i="28"/>
  <c r="G52" i="17"/>
  <c r="G52" i="25"/>
  <c r="G51" i="8"/>
  <c r="G51" i="16"/>
  <c r="G51" i="24"/>
  <c r="G62" i="5"/>
  <c r="G62" i="21"/>
  <c r="G62" i="29"/>
  <c r="G52" i="10"/>
  <c r="G52" i="18"/>
  <c r="G52" i="26"/>
  <c r="G51" i="31"/>
  <c r="E51" i="4"/>
  <c r="F62" i="4"/>
  <c r="G51" i="17"/>
  <c r="G51" i="25"/>
  <c r="G62" i="14"/>
  <c r="G62" i="22"/>
  <c r="G62" i="30"/>
  <c r="G52" i="11"/>
  <c r="G52" i="27"/>
  <c r="G63" i="24"/>
  <c r="G51" i="10"/>
  <c r="G51" i="18"/>
  <c r="G51" i="26"/>
  <c r="G62" i="7"/>
  <c r="G62" i="31"/>
  <c r="E62" i="4"/>
  <c r="G52" i="12"/>
  <c r="G52" i="28"/>
  <c r="G63" i="25"/>
  <c r="E63" i="4"/>
  <c r="G51" i="11"/>
  <c r="G51" i="27"/>
  <c r="G62" i="8"/>
  <c r="G62" i="16"/>
  <c r="G62" i="24"/>
  <c r="G52" i="5"/>
  <c r="G52" i="21"/>
  <c r="G52" i="29"/>
  <c r="F63" i="4"/>
  <c r="F52" i="4"/>
  <c r="G51" i="12"/>
  <c r="G51" i="28"/>
  <c r="G62" i="17"/>
  <c r="G62" i="25"/>
  <c r="G52" i="14"/>
  <c r="G52" i="22"/>
  <c r="G52" i="30"/>
  <c r="G55" i="25"/>
  <c r="E55" i="4"/>
  <c r="G51" i="5"/>
  <c r="G51" i="21"/>
  <c r="G51" i="29"/>
  <c r="G62" i="10"/>
  <c r="G62" i="18"/>
  <c r="G62" i="26"/>
  <c r="G52" i="7"/>
  <c r="G52" i="31"/>
  <c r="E52" i="4"/>
  <c r="F51" i="4"/>
  <c r="G51" i="14"/>
  <c r="G51" i="22"/>
  <c r="G51" i="30"/>
  <c r="G62" i="11"/>
  <c r="G52" i="8"/>
  <c r="G52" i="16"/>
  <c r="G52" i="24"/>
  <c r="G55" i="24"/>
  <c r="F114" i="5"/>
  <c r="F114" i="17"/>
  <c r="F114" i="21"/>
  <c r="F114" i="25"/>
  <c r="F114" i="29"/>
  <c r="F114" i="10"/>
  <c r="F114" i="18"/>
  <c r="F114" i="26"/>
  <c r="F114" i="14"/>
  <c r="F114" i="22"/>
  <c r="F114" i="30"/>
  <c r="F114" i="8"/>
  <c r="F114" i="12"/>
  <c r="F114" i="16"/>
  <c r="F114" i="24"/>
  <c r="F114" i="28"/>
  <c r="F114" i="7"/>
  <c r="F114" i="11"/>
  <c r="F114" i="27"/>
  <c r="G62" i="4" l="1"/>
  <c r="G57" i="24"/>
  <c r="G52" i="4"/>
  <c r="G51" i="4"/>
  <c r="G63" i="4"/>
  <c r="G54" i="31"/>
  <c r="G114" i="31" s="1"/>
  <c r="E114" i="31"/>
  <c r="G54" i="27"/>
  <c r="G114" i="27" s="1"/>
  <c r="E114" i="27"/>
  <c r="E114" i="29"/>
  <c r="G54" i="29"/>
  <c r="G114" i="29" s="1"/>
  <c r="G54" i="16"/>
  <c r="G114" i="16" s="1"/>
  <c r="E114" i="16"/>
  <c r="G57" i="25"/>
  <c r="E57" i="4"/>
  <c r="G54" i="25"/>
  <c r="G114" i="25" s="1"/>
  <c r="E114" i="25"/>
  <c r="G54" i="12"/>
  <c r="G114" i="12" s="1"/>
  <c r="E114" i="12"/>
  <c r="G54" i="26"/>
  <c r="G114" i="26" s="1"/>
  <c r="E114" i="26"/>
  <c r="G54" i="22"/>
  <c r="G114" i="22" s="1"/>
  <c r="E114" i="22"/>
  <c r="G54" i="30"/>
  <c r="G114" i="30" s="1"/>
  <c r="E114" i="30"/>
  <c r="G54" i="11"/>
  <c r="G114" i="11" s="1"/>
  <c r="E114" i="11"/>
  <c r="G54" i="28"/>
  <c r="G114" i="28" s="1"/>
  <c r="E114" i="28"/>
  <c r="G54" i="18"/>
  <c r="G114" i="18" s="1"/>
  <c r="E114" i="18"/>
  <c r="E114" i="14"/>
  <c r="G54" i="14"/>
  <c r="G114" i="14" s="1"/>
  <c r="G54" i="21"/>
  <c r="G114" i="21" s="1"/>
  <c r="E114" i="21"/>
  <c r="E114" i="24"/>
  <c r="G54" i="24"/>
  <c r="G114" i="24" s="1"/>
  <c r="G54" i="7"/>
  <c r="G114" i="7" s="1"/>
  <c r="E114" i="7"/>
  <c r="G54" i="8"/>
  <c r="G114" i="8" s="1"/>
  <c r="E114" i="8"/>
  <c r="G54" i="5"/>
  <c r="G114" i="5" s="1"/>
  <c r="E114" i="5"/>
  <c r="G54" i="17"/>
  <c r="G114" i="17" s="1"/>
  <c r="E114" i="17"/>
  <c r="F115" i="24"/>
  <c r="F114" i="31"/>
  <c r="F54" i="4"/>
  <c r="F114" i="4" s="1"/>
  <c r="G54" i="10" l="1"/>
  <c r="G114" i="10" s="1"/>
  <c r="E114" i="10"/>
  <c r="G65" i="24"/>
  <c r="G115" i="24" s="1"/>
  <c r="E115" i="24"/>
  <c r="G65" i="25"/>
  <c r="G115" i="25" s="1"/>
  <c r="E65" i="4"/>
  <c r="E115" i="25"/>
  <c r="E54" i="4"/>
  <c r="F65" i="4"/>
  <c r="F115" i="25"/>
  <c r="G54" i="4" l="1"/>
  <c r="G114" i="4" s="1"/>
  <c r="E114" i="4"/>
  <c r="G65" i="4"/>
  <c r="E115" i="4"/>
  <c r="G96" i="30" l="1"/>
  <c r="G96" i="21"/>
  <c r="G96" i="22"/>
  <c r="G96" i="11"/>
  <c r="G96" i="14"/>
  <c r="G96" i="25"/>
  <c r="G96" i="17"/>
  <c r="G96" i="24"/>
  <c r="G96" i="8"/>
  <c r="G96" i="16"/>
  <c r="G96" i="28"/>
  <c r="G96" i="5"/>
  <c r="G96" i="26"/>
  <c r="G96" i="7"/>
  <c r="G96" i="27"/>
  <c r="G96" i="18"/>
  <c r="G96" i="29"/>
  <c r="G96" i="12"/>
  <c r="G96" i="10" l="1"/>
  <c r="G95" i="4"/>
  <c r="G97" i="4"/>
  <c r="G96" i="31"/>
  <c r="F55" i="4"/>
  <c r="G96" i="4" l="1"/>
  <c r="F57" i="4"/>
  <c r="G57" i="4" s="1"/>
  <c r="G55" i="4"/>
  <c r="G115" i="4" l="1"/>
  <c r="F115" i="4"/>
  <c r="G36" i="17" l="1"/>
  <c r="G44" i="5"/>
  <c r="G37" i="7"/>
  <c r="G37" i="33"/>
  <c r="G36" i="24"/>
  <c r="G36" i="30"/>
  <c r="G37" i="24"/>
  <c r="G36" i="16"/>
  <c r="G36" i="8"/>
  <c r="G36" i="14"/>
  <c r="G37" i="31"/>
  <c r="G36" i="33"/>
  <c r="G37" i="29"/>
  <c r="G27" i="5"/>
  <c r="G30" i="17"/>
  <c r="G36" i="10"/>
  <c r="G33" i="5"/>
  <c r="G30" i="7"/>
  <c r="G37" i="25"/>
  <c r="G6" i="18"/>
  <c r="G37" i="11"/>
  <c r="G37" i="10"/>
  <c r="G36" i="26"/>
  <c r="G30" i="24"/>
  <c r="G36" i="5"/>
  <c r="G6" i="10"/>
  <c r="G37" i="22"/>
  <c r="G30" i="12"/>
  <c r="G36" i="12"/>
  <c r="G37" i="28"/>
  <c r="G30" i="16"/>
  <c r="G37" i="12"/>
  <c r="G6" i="27"/>
  <c r="G37" i="35"/>
  <c r="G36" i="27"/>
  <c r="G30" i="26"/>
  <c r="G37" i="17"/>
  <c r="G30" i="8"/>
  <c r="G37" i="21"/>
  <c r="G30" i="35"/>
  <c r="G30" i="18"/>
  <c r="G36" i="36"/>
  <c r="G37" i="27"/>
  <c r="G6" i="33"/>
  <c r="G30" i="5"/>
  <c r="G26" i="5"/>
  <c r="G30" i="27"/>
  <c r="G30" i="10"/>
  <c r="G37" i="14"/>
  <c r="G36" i="7"/>
  <c r="G30" i="31"/>
  <c r="G30" i="30"/>
  <c r="G6" i="17"/>
  <c r="G6" i="25"/>
  <c r="G30" i="22"/>
  <c r="G9" i="5"/>
  <c r="G36" i="22"/>
  <c r="G36" i="28"/>
  <c r="G37" i="30"/>
  <c r="G36" i="11"/>
  <c r="G30" i="33"/>
  <c r="G36" i="35"/>
  <c r="G6" i="16"/>
  <c r="G30" i="29"/>
  <c r="G28" i="5"/>
  <c r="G30" i="25"/>
  <c r="G8" i="5"/>
  <c r="G6" i="7"/>
  <c r="G36" i="31"/>
  <c r="G32" i="5"/>
  <c r="G6" i="36"/>
  <c r="G6" i="35"/>
  <c r="G39" i="5"/>
  <c r="G30" i="11"/>
  <c r="G7" i="5"/>
  <c r="G36" i="18"/>
  <c r="G6" i="22"/>
  <c r="G36" i="21"/>
  <c r="G6" i="30"/>
  <c r="G6" i="21"/>
  <c r="G36" i="25"/>
  <c r="G34" i="5"/>
  <c r="G6" i="26"/>
  <c r="G6" i="28"/>
  <c r="G6" i="31"/>
  <c r="G24" i="5"/>
  <c r="G30" i="14"/>
  <c r="G36" i="29"/>
  <c r="G6" i="8"/>
  <c r="G30" i="21"/>
  <c r="G21" i="5"/>
  <c r="G37" i="36"/>
  <c r="G6" i="5"/>
  <c r="G30" i="36"/>
  <c r="G37" i="18"/>
  <c r="G8" i="26" l="1"/>
  <c r="G9" i="11"/>
  <c r="G7" i="11"/>
  <c r="G32" i="21"/>
  <c r="G11" i="14"/>
  <c r="F13" i="14"/>
  <c r="G13" i="14" s="1"/>
  <c r="G26" i="26"/>
  <c r="G27" i="35"/>
  <c r="G14" i="21"/>
  <c r="F16" i="21"/>
  <c r="G16" i="21" s="1"/>
  <c r="G14" i="26"/>
  <c r="F16" i="26"/>
  <c r="G16" i="26" s="1"/>
  <c r="G6" i="29"/>
  <c r="G9" i="35"/>
  <c r="G14" i="31"/>
  <c r="F16" i="31"/>
  <c r="G16" i="31" s="1"/>
  <c r="G32" i="36"/>
  <c r="G24" i="26"/>
  <c r="G25" i="22"/>
  <c r="G10" i="12"/>
  <c r="G9" i="29"/>
  <c r="G11" i="7"/>
  <c r="F13" i="7"/>
  <c r="G13" i="7" s="1"/>
  <c r="G7" i="14"/>
  <c r="G14" i="11"/>
  <c r="F16" i="11"/>
  <c r="G16" i="11" s="1"/>
  <c r="G11" i="25"/>
  <c r="F13" i="25"/>
  <c r="G13" i="25" s="1"/>
  <c r="G7" i="22"/>
  <c r="G25" i="5"/>
  <c r="F29" i="5"/>
  <c r="G29" i="5" s="1"/>
  <c r="G32" i="12"/>
  <c r="G24" i="10"/>
  <c r="G25" i="7"/>
  <c r="G9" i="8"/>
  <c r="G25" i="33"/>
  <c r="G33" i="11"/>
  <c r="G28" i="10"/>
  <c r="G28" i="24"/>
  <c r="G28" i="35"/>
  <c r="G24" i="17"/>
  <c r="G10" i="7"/>
  <c r="G33" i="29"/>
  <c r="G34" i="21"/>
  <c r="G28" i="18"/>
  <c r="G33" i="16"/>
  <c r="G33" i="33"/>
  <c r="G26" i="31"/>
  <c r="G26" i="21"/>
  <c r="G28" i="26"/>
  <c r="G33" i="24"/>
  <c r="G34" i="8"/>
  <c r="G7" i="33"/>
  <c r="G35" i="16"/>
  <c r="G39" i="18"/>
  <c r="G25" i="28"/>
  <c r="G34" i="7"/>
  <c r="G34" i="24"/>
  <c r="G27" i="22"/>
  <c r="G8" i="14"/>
  <c r="G14" i="36"/>
  <c r="F16" i="36"/>
  <c r="G16" i="36" s="1"/>
  <c r="G9" i="14"/>
  <c r="G33" i="26"/>
  <c r="G35" i="25"/>
  <c r="G44" i="29"/>
  <c r="G35" i="10"/>
  <c r="G44" i="11"/>
  <c r="G14" i="18"/>
  <c r="F16" i="18"/>
  <c r="G16" i="18" s="1"/>
  <c r="G24" i="24"/>
  <c r="G21" i="11"/>
  <c r="G25" i="14"/>
  <c r="G27" i="21"/>
  <c r="G21" i="28"/>
  <c r="G32" i="10"/>
  <c r="G33" i="14"/>
  <c r="G32" i="26"/>
  <c r="G36" i="37"/>
  <c r="F36" i="4"/>
  <c r="G36" i="4" s="1"/>
  <c r="G39" i="28"/>
  <c r="G74" i="7"/>
  <c r="G26" i="12"/>
  <c r="G34" i="10"/>
  <c r="G39" i="21"/>
  <c r="G44" i="36"/>
  <c r="G8" i="21"/>
  <c r="G28" i="7"/>
  <c r="G21" i="30"/>
  <c r="G8" i="27"/>
  <c r="G10" i="22"/>
  <c r="G9" i="12"/>
  <c r="G24" i="8"/>
  <c r="G8" i="25"/>
  <c r="G28" i="16"/>
  <c r="G8" i="17"/>
  <c r="G26" i="11"/>
  <c r="G25" i="18"/>
  <c r="G32" i="33"/>
  <c r="G33" i="17"/>
  <c r="G21" i="16"/>
  <c r="G21" i="27"/>
  <c r="G9" i="7"/>
  <c r="G25" i="31"/>
  <c r="G10" i="29"/>
  <c r="G39" i="24"/>
  <c r="G14" i="25"/>
  <c r="F16" i="25"/>
  <c r="G16" i="25" s="1"/>
  <c r="G32" i="29"/>
  <c r="G26" i="35"/>
  <c r="G32" i="16"/>
  <c r="G28" i="29"/>
  <c r="G33" i="28"/>
  <c r="G27" i="10"/>
  <c r="G32" i="24"/>
  <c r="G24" i="21"/>
  <c r="G39" i="26"/>
  <c r="G26" i="22"/>
  <c r="G26" i="24"/>
  <c r="G27" i="26"/>
  <c r="G33" i="7"/>
  <c r="G8" i="31"/>
  <c r="G33" i="30"/>
  <c r="G39" i="27"/>
  <c r="G35" i="36"/>
  <c r="G35" i="31"/>
  <c r="G37" i="8"/>
  <c r="G44" i="30"/>
  <c r="G10" i="14"/>
  <c r="G8" i="22"/>
  <c r="G10" i="31"/>
  <c r="G10" i="24"/>
  <c r="G14" i="12"/>
  <c r="F16" i="12"/>
  <c r="G16" i="12" s="1"/>
  <c r="G44" i="8"/>
  <c r="G34" i="17"/>
  <c r="G34" i="26"/>
  <c r="G35" i="27"/>
  <c r="F32" i="4"/>
  <c r="G32" i="37"/>
  <c r="G6" i="11"/>
  <c r="G10" i="18"/>
  <c r="G24" i="16"/>
  <c r="G25" i="12"/>
  <c r="G25" i="25"/>
  <c r="G7" i="18"/>
  <c r="G14" i="28"/>
  <c r="F16" i="28"/>
  <c r="G16" i="28" s="1"/>
  <c r="G26" i="16"/>
  <c r="G11" i="17"/>
  <c r="F13" i="17"/>
  <c r="G13" i="17" s="1"/>
  <c r="G25" i="17"/>
  <c r="G26" i="28"/>
  <c r="G11" i="26"/>
  <c r="F13" i="26"/>
  <c r="G13" i="26" s="1"/>
  <c r="G28" i="30"/>
  <c r="G27" i="16"/>
  <c r="G7" i="35"/>
  <c r="G9" i="24"/>
  <c r="G24" i="14"/>
  <c r="G28" i="31"/>
  <c r="G34" i="31"/>
  <c r="G35" i="21"/>
  <c r="G25" i="26"/>
  <c r="G26" i="8"/>
  <c r="G11" i="11"/>
  <c r="F13" i="11"/>
  <c r="G13" i="11" s="1"/>
  <c r="G44" i="24"/>
  <c r="G27" i="29"/>
  <c r="G14" i="27"/>
  <c r="F16" i="27"/>
  <c r="G16" i="27" s="1"/>
  <c r="G28" i="33"/>
  <c r="G34" i="14"/>
  <c r="G39" i="29"/>
  <c r="G32" i="27"/>
  <c r="G7" i="24"/>
  <c r="G34" i="22"/>
  <c r="G44" i="12"/>
  <c r="G32" i="35"/>
  <c r="G27" i="12"/>
  <c r="G27" i="36"/>
  <c r="G21" i="18"/>
  <c r="G11" i="5"/>
  <c r="F13" i="5"/>
  <c r="G13" i="5" s="1"/>
  <c r="F31" i="5"/>
  <c r="G31" i="5" s="1"/>
  <c r="G35" i="5"/>
  <c r="G33" i="18"/>
  <c r="G14" i="22"/>
  <c r="F16" i="22"/>
  <c r="G16" i="22" s="1"/>
  <c r="G8" i="16"/>
  <c r="G34" i="36"/>
  <c r="G10" i="5"/>
  <c r="G44" i="17"/>
  <c r="G44" i="21"/>
  <c r="G39" i="14"/>
  <c r="G44" i="33"/>
  <c r="G44" i="31"/>
  <c r="G39" i="16"/>
  <c r="G24" i="7"/>
  <c r="G8" i="29"/>
  <c r="G11" i="35"/>
  <c r="F13" i="35"/>
  <c r="G13" i="35" s="1"/>
  <c r="G25" i="27"/>
  <c r="F37" i="4"/>
  <c r="G37" i="4" s="1"/>
  <c r="G37" i="37"/>
  <c r="G21" i="12"/>
  <c r="G30" i="37"/>
  <c r="G14" i="17"/>
  <c r="F16" i="17"/>
  <c r="G16" i="17" s="1"/>
  <c r="G34" i="35"/>
  <c r="G25" i="35"/>
  <c r="G11" i="8"/>
  <c r="F13" i="8"/>
  <c r="G13" i="8" s="1"/>
  <c r="G33" i="12"/>
  <c r="G21" i="24"/>
  <c r="G10" i="26"/>
  <c r="G34" i="11"/>
  <c r="G21" i="33"/>
  <c r="G14" i="33"/>
  <c r="F16" i="33"/>
  <c r="G16" i="33" s="1"/>
  <c r="G7" i="12"/>
  <c r="G7" i="21"/>
  <c r="G32" i="25"/>
  <c r="G14" i="8"/>
  <c r="F16" i="8"/>
  <c r="G16" i="8" s="1"/>
  <c r="G7" i="31"/>
  <c r="G28" i="17"/>
  <c r="G33" i="31"/>
  <c r="G39" i="33"/>
  <c r="G32" i="11"/>
  <c r="G32" i="28"/>
  <c r="G24" i="25"/>
  <c r="G37" i="5"/>
  <c r="G7" i="8"/>
  <c r="G11" i="29"/>
  <c r="F13" i="29"/>
  <c r="G13" i="29" s="1"/>
  <c r="G32" i="31"/>
  <c r="G34" i="25"/>
  <c r="G7" i="16"/>
  <c r="G14" i="14"/>
  <c r="F16" i="14"/>
  <c r="G16" i="14" s="1"/>
  <c r="G32" i="14"/>
  <c r="G34" i="33"/>
  <c r="G32" i="18"/>
  <c r="G25" i="16"/>
  <c r="G32" i="30"/>
  <c r="G33" i="22"/>
  <c r="G39" i="11"/>
  <c r="G35" i="22"/>
  <c r="G10" i="17"/>
  <c r="G44" i="25"/>
  <c r="G11" i="36"/>
  <c r="F13" i="36"/>
  <c r="G13" i="36" s="1"/>
  <c r="G44" i="27"/>
  <c r="G44" i="7"/>
  <c r="G35" i="26"/>
  <c r="G39" i="30"/>
  <c r="G7" i="36"/>
  <c r="G21" i="14"/>
  <c r="G14" i="7"/>
  <c r="F16" i="7"/>
  <c r="G16" i="7" s="1"/>
  <c r="G25" i="8"/>
  <c r="G21" i="8"/>
  <c r="G25" i="24"/>
  <c r="G27" i="7"/>
  <c r="G9" i="31"/>
  <c r="G25" i="10"/>
  <c r="G7" i="28"/>
  <c r="G26" i="25"/>
  <c r="G35" i="12"/>
  <c r="F14" i="4"/>
  <c r="G14" i="4" s="1"/>
  <c r="G14" i="37"/>
  <c r="F16" i="37"/>
  <c r="G21" i="21"/>
  <c r="G44" i="10"/>
  <c r="G27" i="33"/>
  <c r="G8" i="24"/>
  <c r="G26" i="17"/>
  <c r="G39" i="25"/>
  <c r="G10" i="30"/>
  <c r="G26" i="29"/>
  <c r="G11" i="22"/>
  <c r="F13" i="22"/>
  <c r="G13" i="22" s="1"/>
  <c r="G9" i="10"/>
  <c r="G8" i="12"/>
  <c r="G14" i="10"/>
  <c r="F16" i="10"/>
  <c r="G16" i="10" s="1"/>
  <c r="G11" i="27"/>
  <c r="F13" i="27"/>
  <c r="G13" i="27" s="1"/>
  <c r="G10" i="10"/>
  <c r="G9" i="18"/>
  <c r="G8" i="28"/>
  <c r="F11" i="4"/>
  <c r="G11" i="4" s="1"/>
  <c r="G11" i="37"/>
  <c r="F13" i="37"/>
  <c r="G35" i="8"/>
  <c r="G8" i="30"/>
  <c r="G10" i="16"/>
  <c r="G25" i="29"/>
  <c r="G33" i="8"/>
  <c r="G33" i="25"/>
  <c r="G11" i="18"/>
  <c r="F13" i="18"/>
  <c r="G13" i="18" s="1"/>
  <c r="G10" i="25"/>
  <c r="G7" i="17"/>
  <c r="G34" i="29"/>
  <c r="G7" i="25"/>
  <c r="G34" i="12"/>
  <c r="G34" i="16"/>
  <c r="G27" i="14"/>
  <c r="G14" i="5"/>
  <c r="F16" i="5"/>
  <c r="G16" i="5" s="1"/>
  <c r="G8" i="8"/>
  <c r="G34" i="28"/>
  <c r="G35" i="29"/>
  <c r="G9" i="30"/>
  <c r="G27" i="24"/>
  <c r="G28" i="8"/>
  <c r="G14" i="24"/>
  <c r="F16" i="24"/>
  <c r="G16" i="24" s="1"/>
  <c r="G28" i="36"/>
  <c r="G39" i="31"/>
  <c r="G39" i="12"/>
  <c r="G35" i="18"/>
  <c r="G11" i="31"/>
  <c r="F13" i="31"/>
  <c r="G13" i="31" s="1"/>
  <c r="G9" i="17"/>
  <c r="G10" i="35"/>
  <c r="G11" i="10"/>
  <c r="F13" i="10"/>
  <c r="G13" i="10" s="1"/>
  <c r="G10" i="28"/>
  <c r="G30" i="28"/>
  <c r="G25" i="11"/>
  <c r="G9" i="25"/>
  <c r="G28" i="22"/>
  <c r="G9" i="26"/>
  <c r="G8" i="36"/>
  <c r="G39" i="17"/>
  <c r="G33" i="36"/>
  <c r="G7" i="10"/>
  <c r="G14" i="16"/>
  <c r="F16" i="16"/>
  <c r="G16" i="16" s="1"/>
  <c r="G32" i="7"/>
  <c r="G8" i="11"/>
  <c r="G6" i="14"/>
  <c r="G9" i="27"/>
  <c r="G9" i="21"/>
  <c r="G27" i="17"/>
  <c r="F25" i="4"/>
  <c r="G25" i="37"/>
  <c r="G35" i="14"/>
  <c r="G27" i="31"/>
  <c r="G35" i="24"/>
  <c r="G9" i="33"/>
  <c r="G39" i="35"/>
  <c r="G7" i="30"/>
  <c r="G26" i="18"/>
  <c r="G26" i="7"/>
  <c r="G8" i="18"/>
  <c r="G11" i="24"/>
  <c r="F13" i="24"/>
  <c r="G13" i="24" s="1"/>
  <c r="G10" i="33"/>
  <c r="G9" i="22"/>
  <c r="G33" i="21"/>
  <c r="G44" i="26"/>
  <c r="G26" i="10"/>
  <c r="G10" i="36"/>
  <c r="G25" i="30"/>
  <c r="G26" i="27"/>
  <c r="G32" i="8"/>
  <c r="G35" i="35"/>
  <c r="G28" i="21"/>
  <c r="G21" i="25"/>
  <c r="G21" i="36"/>
  <c r="G24" i="12"/>
  <c r="G39" i="10"/>
  <c r="G26" i="14"/>
  <c r="G11" i="12"/>
  <c r="F13" i="12"/>
  <c r="G13" i="12" s="1"/>
  <c r="G7" i="27"/>
  <c r="G34" i="27"/>
  <c r="G27" i="18"/>
  <c r="G10" i="8"/>
  <c r="G37" i="26"/>
  <c r="G26" i="30"/>
  <c r="G11" i="28"/>
  <c r="F13" i="28"/>
  <c r="G13" i="28" s="1"/>
  <c r="G44" i="18"/>
  <c r="G24" i="31"/>
  <c r="G32" i="17"/>
  <c r="G37" i="16"/>
  <c r="G44" i="22"/>
  <c r="G39" i="7"/>
  <c r="G24" i="36"/>
  <c r="G26" i="36"/>
  <c r="G11" i="16"/>
  <c r="F13" i="16"/>
  <c r="G13" i="16" s="1"/>
  <c r="G27" i="8"/>
  <c r="G33" i="27"/>
  <c r="G32" i="22"/>
  <c r="G35" i="11"/>
  <c r="G39" i="36"/>
  <c r="G28" i="14"/>
  <c r="G14" i="30"/>
  <c r="F16" i="30"/>
  <c r="G16" i="30" s="1"/>
  <c r="G8" i="33"/>
  <c r="G7" i="29"/>
  <c r="G11" i="33"/>
  <c r="F13" i="33"/>
  <c r="G13" i="33" s="1"/>
  <c r="G14" i="29"/>
  <c r="F16" i="29"/>
  <c r="G16" i="29" s="1"/>
  <c r="G27" i="11"/>
  <c r="G35" i="30"/>
  <c r="G25" i="21"/>
  <c r="G10" i="11"/>
  <c r="G9" i="36"/>
  <c r="G21" i="35"/>
  <c r="G10" i="27"/>
  <c r="G34" i="18"/>
  <c r="G8" i="10"/>
  <c r="G8" i="35"/>
  <c r="G6" i="24"/>
  <c r="G28" i="27"/>
  <c r="G21" i="22"/>
  <c r="G24" i="18"/>
  <c r="G9" i="28"/>
  <c r="G21" i="29"/>
  <c r="G44" i="35"/>
  <c r="G21" i="31"/>
  <c r="G24" i="27"/>
  <c r="G33" i="35"/>
  <c r="G21" i="7"/>
  <c r="G21" i="17"/>
  <c r="G35" i="28"/>
  <c r="G10" i="21"/>
  <c r="G7" i="7"/>
  <c r="G6" i="12"/>
  <c r="G28" i="25"/>
  <c r="G44" i="16"/>
  <c r="G11" i="21"/>
  <c r="F13" i="21"/>
  <c r="G13" i="21" s="1"/>
  <c r="G14" i="35"/>
  <c r="F16" i="35"/>
  <c r="G16" i="35" s="1"/>
  <c r="G26" i="33"/>
  <c r="G11" i="30"/>
  <c r="F13" i="30"/>
  <c r="G13" i="30" s="1"/>
  <c r="G27" i="28"/>
  <c r="G28" i="12"/>
  <c r="G21" i="10"/>
  <c r="G8" i="7"/>
  <c r="G34" i="30"/>
  <c r="G44" i="28"/>
  <c r="G33" i="10"/>
  <c r="G35" i="17"/>
  <c r="G27" i="25"/>
  <c r="G28" i="11"/>
  <c r="G28" i="28"/>
  <c r="G21" i="26"/>
  <c r="G35" i="7"/>
  <c r="G9" i="16"/>
  <c r="G7" i="26"/>
  <c r="G27" i="27"/>
  <c r="G25" i="36"/>
  <c r="G27" i="30"/>
  <c r="G35" i="33"/>
  <c r="G44" i="14"/>
  <c r="G39" i="22"/>
  <c r="G39" i="8"/>
  <c r="G48" i="5"/>
  <c r="F29" i="16" l="1"/>
  <c r="G29" i="16" s="1"/>
  <c r="F31" i="37"/>
  <c r="G31" i="37" s="1"/>
  <c r="F29" i="36"/>
  <c r="G29" i="36" s="1"/>
  <c r="F29" i="21"/>
  <c r="G29" i="21" s="1"/>
  <c r="F29" i="37"/>
  <c r="G29" i="37" s="1"/>
  <c r="F29" i="29"/>
  <c r="G29" i="29" s="1"/>
  <c r="F31" i="8"/>
  <c r="G31" i="8" s="1"/>
  <c r="F31" i="30"/>
  <c r="G31" i="30" s="1"/>
  <c r="F38" i="5"/>
  <c r="G38" i="5" s="1"/>
  <c r="F29" i="35"/>
  <c r="G29" i="35" s="1"/>
  <c r="F31" i="16"/>
  <c r="G31" i="16" s="1"/>
  <c r="F29" i="14"/>
  <c r="G29" i="14" s="1"/>
  <c r="G48" i="8"/>
  <c r="G48" i="26"/>
  <c r="G74" i="24"/>
  <c r="G74" i="37"/>
  <c r="G9" i="37"/>
  <c r="F9" i="4"/>
  <c r="G9" i="4" s="1"/>
  <c r="F31" i="17"/>
  <c r="G24" i="30"/>
  <c r="F29" i="8"/>
  <c r="G29" i="8" s="1"/>
  <c r="F31" i="11"/>
  <c r="G39" i="37"/>
  <c r="F39" i="4"/>
  <c r="G39" i="4" s="1"/>
  <c r="G32" i="4"/>
  <c r="G75" i="7"/>
  <c r="F75" i="7"/>
  <c r="F29" i="7"/>
  <c r="G29" i="7" s="1"/>
  <c r="G48" i="24"/>
  <c r="G24" i="29"/>
  <c r="G24" i="37"/>
  <c r="F24" i="4"/>
  <c r="G74" i="36"/>
  <c r="G74" i="25"/>
  <c r="G74" i="17"/>
  <c r="G48" i="36"/>
  <c r="G44" i="37"/>
  <c r="F44" i="4"/>
  <c r="G44" i="4" s="1"/>
  <c r="G13" i="37"/>
  <c r="F13" i="4"/>
  <c r="G13" i="4" s="1"/>
  <c r="G21" i="37"/>
  <c r="F21" i="4"/>
  <c r="G21" i="4" s="1"/>
  <c r="G24" i="28"/>
  <c r="F31" i="18"/>
  <c r="G24" i="35"/>
  <c r="F29" i="27"/>
  <c r="G29" i="27" s="1"/>
  <c r="F28" i="4"/>
  <c r="G28" i="4" s="1"/>
  <c r="G28" i="37"/>
  <c r="F31" i="33"/>
  <c r="F31" i="10"/>
  <c r="F31" i="36"/>
  <c r="G74" i="30"/>
  <c r="G48" i="28"/>
  <c r="G74" i="31"/>
  <c r="G48" i="14"/>
  <c r="G48" i="27"/>
  <c r="G48" i="18"/>
  <c r="G48" i="11"/>
  <c r="F29" i="30"/>
  <c r="G29" i="30" s="1"/>
  <c r="F30" i="4"/>
  <c r="G30" i="4" s="1"/>
  <c r="F29" i="17"/>
  <c r="G29" i="17" s="1"/>
  <c r="F8" i="4"/>
  <c r="G8" i="4" s="1"/>
  <c r="G8" i="37"/>
  <c r="F31" i="21"/>
  <c r="G74" i="27"/>
  <c r="G74" i="21"/>
  <c r="G74" i="11"/>
  <c r="G24" i="33"/>
  <c r="G74" i="12"/>
  <c r="G74" i="33"/>
  <c r="G48" i="10"/>
  <c r="G74" i="16"/>
  <c r="G48" i="33"/>
  <c r="G74" i="28"/>
  <c r="G74" i="22"/>
  <c r="G48" i="31"/>
  <c r="F31" i="22"/>
  <c r="G25" i="4"/>
  <c r="F7" i="4"/>
  <c r="G7" i="4" s="1"/>
  <c r="G7" i="37"/>
  <c r="F31" i="25"/>
  <c r="F29" i="12"/>
  <c r="G29" i="12" s="1"/>
  <c r="F31" i="29"/>
  <c r="F29" i="18"/>
  <c r="G29" i="18" s="1"/>
  <c r="G24" i="11"/>
  <c r="G48" i="7"/>
  <c r="G74" i="18"/>
  <c r="G74" i="35"/>
  <c r="G74" i="10"/>
  <c r="G48" i="16"/>
  <c r="G74" i="14"/>
  <c r="G48" i="21"/>
  <c r="F31" i="7"/>
  <c r="F29" i="11"/>
  <c r="G29" i="11" s="1"/>
  <c r="G16" i="37"/>
  <c r="F16" i="4"/>
  <c r="G16" i="4" s="1"/>
  <c r="F29" i="24"/>
  <c r="G29" i="24" s="1"/>
  <c r="F31" i="35"/>
  <c r="F31" i="27"/>
  <c r="F29" i="25"/>
  <c r="G29" i="25" s="1"/>
  <c r="F29" i="33"/>
  <c r="G29" i="33" s="1"/>
  <c r="G48" i="17"/>
  <c r="G48" i="35"/>
  <c r="G48" i="12"/>
  <c r="G48" i="30"/>
  <c r="G74" i="8"/>
  <c r="G48" i="25"/>
  <c r="G74" i="5"/>
  <c r="G34" i="37"/>
  <c r="F34" i="4"/>
  <c r="G34" i="4" s="1"/>
  <c r="F29" i="10"/>
  <c r="G29" i="10" s="1"/>
  <c r="F35" i="4"/>
  <c r="G35" i="4" s="1"/>
  <c r="G35" i="37"/>
  <c r="F31" i="14"/>
  <c r="F31" i="31"/>
  <c r="F31" i="28"/>
  <c r="F29" i="26"/>
  <c r="G29" i="26" s="1"/>
  <c r="F31" i="24"/>
  <c r="F29" i="28"/>
  <c r="G29" i="28" s="1"/>
  <c r="F31" i="12"/>
  <c r="F29" i="22"/>
  <c r="G29" i="22" s="1"/>
  <c r="G24" i="22"/>
  <c r="F33" i="4"/>
  <c r="G33" i="4" s="1"/>
  <c r="G33" i="37"/>
  <c r="G74" i="29"/>
  <c r="G48" i="29"/>
  <c r="G48" i="22"/>
  <c r="G74" i="26"/>
  <c r="F27" i="4"/>
  <c r="G27" i="4" s="1"/>
  <c r="G27" i="37"/>
  <c r="F38" i="16"/>
  <c r="G38" i="16" s="1"/>
  <c r="F10" i="4"/>
  <c r="G10" i="4" s="1"/>
  <c r="G10" i="37"/>
  <c r="G6" i="37"/>
  <c r="F6" i="4"/>
  <c r="G6" i="4" s="1"/>
  <c r="G26" i="37"/>
  <c r="F26" i="4"/>
  <c r="G26" i="4" s="1"/>
  <c r="F29" i="31"/>
  <c r="G29" i="31" s="1"/>
  <c r="F31" i="26"/>
  <c r="F38" i="37" l="1"/>
  <c r="G38" i="37" s="1"/>
  <c r="F38" i="30"/>
  <c r="G38" i="30" s="1"/>
  <c r="F38" i="8"/>
  <c r="G38" i="8" s="1"/>
  <c r="F38" i="28"/>
  <c r="G38" i="28" s="1"/>
  <c r="G31" i="28"/>
  <c r="F38" i="25"/>
  <c r="G38" i="25" s="1"/>
  <c r="G31" i="25"/>
  <c r="F75" i="28"/>
  <c r="G75" i="28"/>
  <c r="F75" i="30"/>
  <c r="G75" i="30"/>
  <c r="G24" i="4"/>
  <c r="F75" i="10"/>
  <c r="G75" i="10"/>
  <c r="G31" i="26"/>
  <c r="F38" i="26"/>
  <c r="G38" i="26" s="1"/>
  <c r="F38" i="31"/>
  <c r="G38" i="31" s="1"/>
  <c r="G31" i="31"/>
  <c r="F38" i="27"/>
  <c r="G38" i="27" s="1"/>
  <c r="G31" i="27"/>
  <c r="F38" i="7"/>
  <c r="G38" i="7" s="1"/>
  <c r="G31" i="7"/>
  <c r="G75" i="14"/>
  <c r="F75" i="14"/>
  <c r="G75" i="27"/>
  <c r="F75" i="27"/>
  <c r="G75" i="31"/>
  <c r="F75" i="31"/>
  <c r="F38" i="36"/>
  <c r="G38" i="36" s="1"/>
  <c r="G31" i="36"/>
  <c r="F38" i="22"/>
  <c r="G38" i="22" s="1"/>
  <c r="G31" i="22"/>
  <c r="G75" i="26"/>
  <c r="F75" i="26"/>
  <c r="F38" i="14"/>
  <c r="G38" i="14" s="1"/>
  <c r="G31" i="14"/>
  <c r="F38" i="35"/>
  <c r="G31" i="35"/>
  <c r="G75" i="33"/>
  <c r="F75" i="33"/>
  <c r="F38" i="21"/>
  <c r="G38" i="21" s="1"/>
  <c r="G31" i="21"/>
  <c r="F31" i="4"/>
  <c r="G75" i="8"/>
  <c r="F75" i="8"/>
  <c r="F75" i="5"/>
  <c r="G75" i="5"/>
  <c r="G75" i="11"/>
  <c r="F75" i="11"/>
  <c r="F38" i="10"/>
  <c r="G38" i="10" s="1"/>
  <c r="G31" i="10"/>
  <c r="F38" i="18"/>
  <c r="G38" i="18" s="1"/>
  <c r="G31" i="18"/>
  <c r="F75" i="17"/>
  <c r="G75" i="17"/>
  <c r="F48" i="4"/>
  <c r="G48" i="4" s="1"/>
  <c r="G48" i="37"/>
  <c r="F75" i="29"/>
  <c r="G75" i="29"/>
  <c r="F38" i="12"/>
  <c r="G38" i="12" s="1"/>
  <c r="G31" i="12"/>
  <c r="F75" i="18"/>
  <c r="G75" i="18"/>
  <c r="F38" i="29"/>
  <c r="G31" i="29"/>
  <c r="G75" i="12"/>
  <c r="F75" i="12"/>
  <c r="F38" i="33"/>
  <c r="G38" i="33" s="1"/>
  <c r="G31" i="33"/>
  <c r="F75" i="36"/>
  <c r="G75" i="36"/>
  <c r="F75" i="37"/>
  <c r="G75" i="37"/>
  <c r="G75" i="25"/>
  <c r="F75" i="25"/>
  <c r="F75" i="35"/>
  <c r="G75" i="35"/>
  <c r="F29" i="4"/>
  <c r="G29" i="4" s="1"/>
  <c r="G75" i="16"/>
  <c r="F75" i="16"/>
  <c r="G75" i="21"/>
  <c r="F75" i="21"/>
  <c r="F38" i="24"/>
  <c r="G38" i="24" s="1"/>
  <c r="G31" i="24"/>
  <c r="F75" i="22"/>
  <c r="G75" i="22"/>
  <c r="F38" i="11"/>
  <c r="G38" i="11" s="1"/>
  <c r="G31" i="11"/>
  <c r="F38" i="17"/>
  <c r="G38" i="17" s="1"/>
  <c r="G31" i="17"/>
  <c r="G75" i="24"/>
  <c r="F75" i="24"/>
  <c r="G38" i="29" l="1"/>
  <c r="F38" i="4"/>
  <c r="G38" i="4" s="1"/>
  <c r="G31" i="4"/>
  <c r="G38" i="35"/>
  <c r="E119" i="28" l="1"/>
  <c r="F43" i="28"/>
  <c r="G17" i="12"/>
  <c r="E20" i="12"/>
  <c r="F20" i="12"/>
  <c r="F43" i="12"/>
  <c r="E119" i="12"/>
  <c r="F20" i="28"/>
  <c r="G17" i="28"/>
  <c r="E20" i="28"/>
  <c r="F119" i="28" l="1"/>
  <c r="G119" i="28" s="1"/>
  <c r="E20" i="21"/>
  <c r="G17" i="21"/>
  <c r="F20" i="30"/>
  <c r="E20" i="31"/>
  <c r="G17" i="31"/>
  <c r="F20" i="21"/>
  <c r="G17" i="11"/>
  <c r="E20" i="11"/>
  <c r="E20" i="18"/>
  <c r="G17" i="18"/>
  <c r="F20" i="35"/>
  <c r="E20" i="30"/>
  <c r="G17" i="30"/>
  <c r="F20" i="17"/>
  <c r="F113" i="28"/>
  <c r="F45" i="28"/>
  <c r="F69" i="28" s="1"/>
  <c r="G17" i="35"/>
  <c r="E20" i="35"/>
  <c r="F43" i="31"/>
  <c r="E22" i="12"/>
  <c r="E112" i="12"/>
  <c r="G20" i="12"/>
  <c r="F20" i="27"/>
  <c r="E20" i="29"/>
  <c r="G17" i="29"/>
  <c r="F43" i="18"/>
  <c r="F20" i="36"/>
  <c r="G40" i="12"/>
  <c r="E43" i="12"/>
  <c r="E20" i="10"/>
  <c r="G17" i="10"/>
  <c r="F22" i="12"/>
  <c r="F112" i="12"/>
  <c r="G17" i="17"/>
  <c r="E20" i="17"/>
  <c r="E43" i="28"/>
  <c r="G40" i="28"/>
  <c r="E20" i="26"/>
  <c r="G17" i="26"/>
  <c r="F43" i="7"/>
  <c r="E119" i="7"/>
  <c r="F20" i="26"/>
  <c r="E119" i="10"/>
  <c r="F43" i="10"/>
  <c r="E20" i="27"/>
  <c r="G17" i="27"/>
  <c r="F20" i="37"/>
  <c r="F43" i="11"/>
  <c r="E119" i="11"/>
  <c r="G20" i="28"/>
  <c r="E112" i="28"/>
  <c r="E22" i="28"/>
  <c r="F43" i="21"/>
  <c r="E119" i="21"/>
  <c r="E20" i="33"/>
  <c r="G17" i="33"/>
  <c r="E20" i="24"/>
  <c r="G17" i="24"/>
  <c r="F43" i="17"/>
  <c r="F43" i="24"/>
  <c r="F45" i="12"/>
  <c r="F69" i="12" s="1"/>
  <c r="F113" i="12"/>
  <c r="F119" i="12"/>
  <c r="G119" i="12" s="1"/>
  <c r="E20" i="37"/>
  <c r="G17" i="37"/>
  <c r="F20" i="33"/>
  <c r="F20" i="24"/>
  <c r="F20" i="14"/>
  <c r="F43" i="27"/>
  <c r="F43" i="14"/>
  <c r="E119" i="14"/>
  <c r="F20" i="18"/>
  <c r="F20" i="29"/>
  <c r="E20" i="36"/>
  <c r="G17" i="36"/>
  <c r="F20" i="10"/>
  <c r="E119" i="37"/>
  <c r="F119" i="37"/>
  <c r="F43" i="33"/>
  <c r="F43" i="29"/>
  <c r="F43" i="30"/>
  <c r="F43" i="36"/>
  <c r="F43" i="35"/>
  <c r="E20" i="7"/>
  <c r="G17" i="7"/>
  <c r="G17" i="14"/>
  <c r="E20" i="14"/>
  <c r="E20" i="8"/>
  <c r="G17" i="8"/>
  <c r="F20" i="11"/>
  <c r="F22" i="28"/>
  <c r="F112" i="28"/>
  <c r="F20" i="7"/>
  <c r="F20" i="31"/>
  <c r="F43" i="26"/>
  <c r="F20" i="8"/>
  <c r="F119" i="11" l="1"/>
  <c r="G119" i="11" s="1"/>
  <c r="F119" i="18"/>
  <c r="F119" i="31"/>
  <c r="F119" i="17"/>
  <c r="F111" i="28"/>
  <c r="F119" i="26"/>
  <c r="F119" i="10"/>
  <c r="G119" i="10" s="1"/>
  <c r="F119" i="30"/>
  <c r="F119" i="14"/>
  <c r="G119" i="14" s="1"/>
  <c r="F22" i="8"/>
  <c r="F112" i="8"/>
  <c r="F22" i="7"/>
  <c r="F112" i="7"/>
  <c r="G20" i="7"/>
  <c r="E112" i="7"/>
  <c r="E22" i="7"/>
  <c r="F113" i="30"/>
  <c r="F45" i="30"/>
  <c r="F69" i="30" s="1"/>
  <c r="E112" i="36"/>
  <c r="E22" i="36"/>
  <c r="G20" i="36"/>
  <c r="G40" i="14"/>
  <c r="E43" i="14"/>
  <c r="F119" i="24"/>
  <c r="E112" i="37"/>
  <c r="E22" i="37"/>
  <c r="G20" i="37"/>
  <c r="G40" i="11"/>
  <c r="E43" i="11"/>
  <c r="F22" i="26"/>
  <c r="F112" i="26"/>
  <c r="F111" i="12"/>
  <c r="G112" i="12"/>
  <c r="E112" i="11"/>
  <c r="G20" i="11"/>
  <c r="E22" i="11"/>
  <c r="E22" i="31"/>
  <c r="E112" i="31"/>
  <c r="G20" i="31"/>
  <c r="G40" i="30"/>
  <c r="E43" i="30"/>
  <c r="F45" i="21"/>
  <c r="F69" i="21" s="1"/>
  <c r="F113" i="21"/>
  <c r="E112" i="26"/>
  <c r="E22" i="26"/>
  <c r="G20" i="26"/>
  <c r="E112" i="29"/>
  <c r="E22" i="29"/>
  <c r="G20" i="29"/>
  <c r="G20" i="18"/>
  <c r="E22" i="18"/>
  <c r="E112" i="18"/>
  <c r="F119" i="7"/>
  <c r="G119" i="7" s="1"/>
  <c r="E43" i="35"/>
  <c r="G40" i="35"/>
  <c r="G40" i="29"/>
  <c r="E43" i="29"/>
  <c r="F119" i="29"/>
  <c r="F45" i="14"/>
  <c r="F69" i="14" s="1"/>
  <c r="F113" i="14"/>
  <c r="G20" i="24"/>
  <c r="F112" i="24"/>
  <c r="F22" i="24"/>
  <c r="E43" i="24"/>
  <c r="G40" i="24"/>
  <c r="F45" i="17"/>
  <c r="F69" i="17" s="1"/>
  <c r="F113" i="17"/>
  <c r="E119" i="24"/>
  <c r="F113" i="11"/>
  <c r="F45" i="11"/>
  <c r="F69" i="11" s="1"/>
  <c r="G40" i="7"/>
  <c r="E43" i="7"/>
  <c r="E113" i="28"/>
  <c r="G113" i="28" s="1"/>
  <c r="E45" i="28"/>
  <c r="G43" i="28"/>
  <c r="F47" i="12"/>
  <c r="F61" i="12"/>
  <c r="F70" i="12" s="1"/>
  <c r="F119" i="36"/>
  <c r="F119" i="27"/>
  <c r="E61" i="12"/>
  <c r="G22" i="12"/>
  <c r="G61" i="12" s="1"/>
  <c r="E119" i="30"/>
  <c r="F22" i="30"/>
  <c r="F112" i="30"/>
  <c r="F22" i="29"/>
  <c r="F112" i="29"/>
  <c r="F22" i="33"/>
  <c r="F112" i="33"/>
  <c r="F45" i="31"/>
  <c r="F69" i="31" s="1"/>
  <c r="F113" i="31"/>
  <c r="F61" i="28"/>
  <c r="F47" i="28"/>
  <c r="E43" i="33"/>
  <c r="G40" i="33"/>
  <c r="F22" i="18"/>
  <c r="F112" i="18"/>
  <c r="E43" i="27"/>
  <c r="G40" i="27"/>
  <c r="F119" i="33"/>
  <c r="E20" i="22"/>
  <c r="G17" i="22"/>
  <c r="F20" i="16"/>
  <c r="E119" i="33"/>
  <c r="E119" i="27"/>
  <c r="E112" i="17"/>
  <c r="G20" i="17"/>
  <c r="E22" i="17"/>
  <c r="G40" i="18"/>
  <c r="E43" i="18"/>
  <c r="G40" i="31"/>
  <c r="E43" i="31"/>
  <c r="F119" i="35"/>
  <c r="F119" i="21"/>
  <c r="G119" i="21" s="1"/>
  <c r="G119" i="37"/>
  <c r="E22" i="8"/>
  <c r="E112" i="8"/>
  <c r="G20" i="8"/>
  <c r="F45" i="24"/>
  <c r="F69" i="24" s="1"/>
  <c r="F113" i="24"/>
  <c r="F45" i="7"/>
  <c r="F69" i="7" s="1"/>
  <c r="F113" i="7"/>
  <c r="F22" i="27"/>
  <c r="F112" i="27"/>
  <c r="E22" i="30"/>
  <c r="E112" i="30"/>
  <c r="G20" i="30"/>
  <c r="E43" i="26"/>
  <c r="G40" i="26"/>
  <c r="F43" i="25"/>
  <c r="E119" i="25"/>
  <c r="E22" i="14"/>
  <c r="E112" i="14"/>
  <c r="G20" i="14"/>
  <c r="F113" i="33"/>
  <c r="F45" i="33"/>
  <c r="F69" i="33" s="1"/>
  <c r="E20" i="16"/>
  <c r="G17" i="16"/>
  <c r="E112" i="27"/>
  <c r="E22" i="27"/>
  <c r="G20" i="27"/>
  <c r="E22" i="10"/>
  <c r="E112" i="10"/>
  <c r="G20" i="10"/>
  <c r="F45" i="18"/>
  <c r="F69" i="18" s="1"/>
  <c r="F113" i="18"/>
  <c r="E119" i="35"/>
  <c r="F70" i="28"/>
  <c r="F22" i="35"/>
  <c r="F112" i="35"/>
  <c r="F22" i="21"/>
  <c r="F112" i="21"/>
  <c r="E119" i="16"/>
  <c r="F43" i="16"/>
  <c r="F113" i="29"/>
  <c r="F45" i="29"/>
  <c r="F69" i="29" s="1"/>
  <c r="E43" i="17"/>
  <c r="G40" i="17"/>
  <c r="F22" i="36"/>
  <c r="F112" i="36"/>
  <c r="F45" i="26"/>
  <c r="F69" i="26" s="1"/>
  <c r="F113" i="26"/>
  <c r="F45" i="36"/>
  <c r="F69" i="36" s="1"/>
  <c r="F113" i="36"/>
  <c r="F43" i="37"/>
  <c r="F22" i="10"/>
  <c r="F112" i="10"/>
  <c r="F112" i="14"/>
  <c r="F22" i="14"/>
  <c r="E112" i="33"/>
  <c r="E22" i="33"/>
  <c r="G20" i="33"/>
  <c r="G22" i="28"/>
  <c r="G61" i="28" s="1"/>
  <c r="E61" i="28"/>
  <c r="E47" i="28"/>
  <c r="F43" i="22"/>
  <c r="E119" i="22"/>
  <c r="F45" i="10"/>
  <c r="F69" i="10" s="1"/>
  <c r="F113" i="10"/>
  <c r="E119" i="26"/>
  <c r="E45" i="12"/>
  <c r="E47" i="12" s="1"/>
  <c r="G43" i="12"/>
  <c r="E113" i="12"/>
  <c r="G113" i="12" s="1"/>
  <c r="E119" i="29"/>
  <c r="F20" i="25"/>
  <c r="E112" i="35"/>
  <c r="E22" i="35"/>
  <c r="G20" i="35"/>
  <c r="E119" i="18"/>
  <c r="G119" i="18" s="1"/>
  <c r="E22" i="21"/>
  <c r="G20" i="21"/>
  <c r="E112" i="21"/>
  <c r="F113" i="35"/>
  <c r="F45" i="35"/>
  <c r="F69" i="35" s="1"/>
  <c r="F45" i="27"/>
  <c r="F69" i="27" s="1"/>
  <c r="F113" i="27"/>
  <c r="F20" i="22"/>
  <c r="E112" i="24"/>
  <c r="E22" i="24"/>
  <c r="F112" i="37"/>
  <c r="F22" i="37"/>
  <c r="E119" i="17"/>
  <c r="F22" i="31"/>
  <c r="F112" i="31"/>
  <c r="F22" i="11"/>
  <c r="F112" i="11"/>
  <c r="G40" i="36"/>
  <c r="E43" i="36"/>
  <c r="G40" i="37"/>
  <c r="E43" i="37"/>
  <c r="E119" i="36"/>
  <c r="G40" i="21"/>
  <c r="E43" i="21"/>
  <c r="G112" i="28"/>
  <c r="E43" i="10"/>
  <c r="G40" i="10"/>
  <c r="E20" i="25"/>
  <c r="G17" i="25"/>
  <c r="F22" i="17"/>
  <c r="F112" i="17"/>
  <c r="E119" i="31"/>
  <c r="G119" i="31" s="1"/>
  <c r="G119" i="17" l="1"/>
  <c r="G119" i="35"/>
  <c r="G119" i="30"/>
  <c r="G119" i="36"/>
  <c r="G119" i="26"/>
  <c r="G119" i="29"/>
  <c r="G119" i="24"/>
  <c r="G47" i="12"/>
  <c r="F111" i="14"/>
  <c r="G119" i="33"/>
  <c r="F119" i="16"/>
  <c r="G119" i="16" s="1"/>
  <c r="E111" i="28"/>
  <c r="G111" i="28" s="1"/>
  <c r="F111" i="31"/>
  <c r="F119" i="25"/>
  <c r="G119" i="25" s="1"/>
  <c r="F111" i="35"/>
  <c r="F111" i="30"/>
  <c r="G112" i="17"/>
  <c r="F111" i="18"/>
  <c r="G119" i="27"/>
  <c r="F113" i="22"/>
  <c r="F45" i="22"/>
  <c r="F69" i="22" s="1"/>
  <c r="F43" i="8"/>
  <c r="F119" i="8"/>
  <c r="G22" i="10"/>
  <c r="G61" i="10" s="1"/>
  <c r="E61" i="10"/>
  <c r="F61" i="27"/>
  <c r="F70" i="27" s="1"/>
  <c r="F47" i="27"/>
  <c r="E45" i="31"/>
  <c r="E113" i="31"/>
  <c r="G113" i="31" s="1"/>
  <c r="G43" i="31"/>
  <c r="G22" i="17"/>
  <c r="G61" i="17" s="1"/>
  <c r="E61" i="17"/>
  <c r="F61" i="29"/>
  <c r="F70" i="29" s="1"/>
  <c r="F47" i="29"/>
  <c r="G43" i="14"/>
  <c r="E113" i="14"/>
  <c r="E111" i="14" s="1"/>
  <c r="E45" i="14"/>
  <c r="F111" i="17"/>
  <c r="E113" i="37"/>
  <c r="E111" i="37" s="1"/>
  <c r="G43" i="37"/>
  <c r="E45" i="37"/>
  <c r="E47" i="37" s="1"/>
  <c r="F111" i="36"/>
  <c r="F61" i="35"/>
  <c r="F70" i="35" s="1"/>
  <c r="F47" i="35"/>
  <c r="E113" i="33"/>
  <c r="G113" i="33" s="1"/>
  <c r="E45" i="33"/>
  <c r="G43" i="33"/>
  <c r="E69" i="28"/>
  <c r="E70" i="28" s="1"/>
  <c r="G45" i="28"/>
  <c r="G69" i="28" s="1"/>
  <c r="G70" i="28" s="1"/>
  <c r="G94" i="28" s="1"/>
  <c r="G112" i="31"/>
  <c r="E111" i="12"/>
  <c r="G111" i="12" s="1"/>
  <c r="G22" i="7"/>
  <c r="G61" i="7" s="1"/>
  <c r="E61" i="7"/>
  <c r="F61" i="8"/>
  <c r="F61" i="17"/>
  <c r="F70" i="17" s="1"/>
  <c r="F47" i="17"/>
  <c r="E113" i="27"/>
  <c r="E111" i="27" s="1"/>
  <c r="E45" i="27"/>
  <c r="E47" i="27" s="1"/>
  <c r="G43" i="27"/>
  <c r="F61" i="14"/>
  <c r="F70" i="14" s="1"/>
  <c r="F47" i="14"/>
  <c r="E113" i="24"/>
  <c r="G113" i="24" s="1"/>
  <c r="E45" i="24"/>
  <c r="E47" i="24" s="1"/>
  <c r="G43" i="24"/>
  <c r="E61" i="36"/>
  <c r="G22" i="36"/>
  <c r="G61" i="36" s="1"/>
  <c r="E45" i="36"/>
  <c r="E47" i="36" s="1"/>
  <c r="E113" i="36"/>
  <c r="G113" i="36" s="1"/>
  <c r="G43" i="36"/>
  <c r="F61" i="31"/>
  <c r="F70" i="31" s="1"/>
  <c r="F47" i="31"/>
  <c r="F22" i="22"/>
  <c r="F112" i="22"/>
  <c r="G22" i="35"/>
  <c r="G61" i="35" s="1"/>
  <c r="E61" i="35"/>
  <c r="E45" i="17"/>
  <c r="E47" i="17" s="1"/>
  <c r="E113" i="17"/>
  <c r="G43" i="17"/>
  <c r="F45" i="16"/>
  <c r="F69" i="16" s="1"/>
  <c r="F113" i="16"/>
  <c r="G22" i="27"/>
  <c r="G61" i="27" s="1"/>
  <c r="E61" i="27"/>
  <c r="E112" i="16"/>
  <c r="G20" i="16"/>
  <c r="E22" i="16"/>
  <c r="G112" i="14"/>
  <c r="F22" i="16"/>
  <c r="F112" i="16"/>
  <c r="F61" i="18"/>
  <c r="F70" i="18" s="1"/>
  <c r="F47" i="18"/>
  <c r="G47" i="28"/>
  <c r="F47" i="24"/>
  <c r="F61" i="24"/>
  <c r="F70" i="24" s="1"/>
  <c r="E61" i="18"/>
  <c r="G22" i="18"/>
  <c r="G61" i="18" s="1"/>
  <c r="F111" i="21"/>
  <c r="E61" i="37"/>
  <c r="G22" i="37"/>
  <c r="G61" i="37" s="1"/>
  <c r="G112" i="36"/>
  <c r="E61" i="24"/>
  <c r="G22" i="24"/>
  <c r="G61" i="24" s="1"/>
  <c r="F61" i="36"/>
  <c r="F70" i="36" s="1"/>
  <c r="F47" i="36"/>
  <c r="E45" i="29"/>
  <c r="E47" i="29" s="1"/>
  <c r="E113" i="29"/>
  <c r="E111" i="29" s="1"/>
  <c r="G43" i="29"/>
  <c r="E61" i="31"/>
  <c r="G22" i="31"/>
  <c r="G61" i="31" s="1"/>
  <c r="E113" i="21"/>
  <c r="G113" i="21" s="1"/>
  <c r="E45" i="21"/>
  <c r="E47" i="21" s="1"/>
  <c r="G43" i="21"/>
  <c r="G112" i="24"/>
  <c r="F61" i="30"/>
  <c r="F70" i="30" s="1"/>
  <c r="F47" i="30"/>
  <c r="E113" i="7"/>
  <c r="E111" i="7" s="1"/>
  <c r="E45" i="7"/>
  <c r="G43" i="7"/>
  <c r="E112" i="25"/>
  <c r="E22" i="25"/>
  <c r="G20" i="25"/>
  <c r="F119" i="22"/>
  <c r="G119" i="22" s="1"/>
  <c r="E61" i="21"/>
  <c r="G22" i="21"/>
  <c r="G61" i="21" s="1"/>
  <c r="G112" i="35"/>
  <c r="E61" i="33"/>
  <c r="G22" i="33"/>
  <c r="G61" i="33" s="1"/>
  <c r="G112" i="10"/>
  <c r="F111" i="10"/>
  <c r="E43" i="16"/>
  <c r="G40" i="16"/>
  <c r="G112" i="27"/>
  <c r="E61" i="14"/>
  <c r="G22" i="14"/>
  <c r="G61" i="14" s="1"/>
  <c r="G112" i="30"/>
  <c r="E113" i="18"/>
  <c r="G113" i="18" s="1"/>
  <c r="E45" i="18"/>
  <c r="E47" i="18" s="1"/>
  <c r="G43" i="18"/>
  <c r="G112" i="33"/>
  <c r="F111" i="33"/>
  <c r="F111" i="24"/>
  <c r="E45" i="35"/>
  <c r="E47" i="35" s="1"/>
  <c r="E113" i="35"/>
  <c r="G113" i="35" s="1"/>
  <c r="G43" i="35"/>
  <c r="G22" i="11"/>
  <c r="G61" i="11" s="1"/>
  <c r="E61" i="11"/>
  <c r="G112" i="26"/>
  <c r="F111" i="26"/>
  <c r="F61" i="11"/>
  <c r="F70" i="11" s="1"/>
  <c r="F47" i="11"/>
  <c r="G112" i="7"/>
  <c r="G45" i="12"/>
  <c r="G69" i="12" s="1"/>
  <c r="G70" i="12" s="1"/>
  <c r="G94" i="12" s="1"/>
  <c r="E69" i="12"/>
  <c r="E70" i="12" s="1"/>
  <c r="E113" i="26"/>
  <c r="G113" i="26" s="1"/>
  <c r="E45" i="26"/>
  <c r="G43" i="26"/>
  <c r="G112" i="18"/>
  <c r="F61" i="10"/>
  <c r="F70" i="10" s="1"/>
  <c r="F47" i="10"/>
  <c r="G112" i="21"/>
  <c r="G40" i="25"/>
  <c r="E43" i="25"/>
  <c r="G22" i="30"/>
  <c r="G61" i="30" s="1"/>
  <c r="E61" i="30"/>
  <c r="G112" i="8"/>
  <c r="F61" i="33"/>
  <c r="F70" i="33" s="1"/>
  <c r="F47" i="33"/>
  <c r="E113" i="30"/>
  <c r="E111" i="30" s="1"/>
  <c r="E45" i="30"/>
  <c r="G43" i="30"/>
  <c r="F61" i="26"/>
  <c r="F70" i="26" s="1"/>
  <c r="F47" i="26"/>
  <c r="G112" i="37"/>
  <c r="F111" i="7"/>
  <c r="E113" i="10"/>
  <c r="G113" i="10" s="1"/>
  <c r="E45" i="10"/>
  <c r="E47" i="10" s="1"/>
  <c r="G43" i="10"/>
  <c r="G112" i="11"/>
  <c r="F111" i="11"/>
  <c r="F61" i="37"/>
  <c r="F22" i="25"/>
  <c r="F112" i="25"/>
  <c r="E43" i="22"/>
  <c r="G40" i="22"/>
  <c r="F113" i="37"/>
  <c r="F111" i="37" s="1"/>
  <c r="F45" i="37"/>
  <c r="F69" i="37" s="1"/>
  <c r="E43" i="8"/>
  <c r="G40" i="8"/>
  <c r="E119" i="8"/>
  <c r="F61" i="21"/>
  <c r="F70" i="21" s="1"/>
  <c r="F47" i="21"/>
  <c r="F45" i="25"/>
  <c r="F69" i="25" s="1"/>
  <c r="F113" i="25"/>
  <c r="F111" i="27"/>
  <c r="E61" i="8"/>
  <c r="G22" i="8"/>
  <c r="G61" i="8" s="1"/>
  <c r="E22" i="22"/>
  <c r="E112" i="22"/>
  <c r="G20" i="22"/>
  <c r="G112" i="29"/>
  <c r="F111" i="29"/>
  <c r="E61" i="29"/>
  <c r="G22" i="29"/>
  <c r="G61" i="29" s="1"/>
  <c r="E61" i="26"/>
  <c r="G22" i="26"/>
  <c r="G61" i="26" s="1"/>
  <c r="E113" i="11"/>
  <c r="E111" i="11" s="1"/>
  <c r="E45" i="11"/>
  <c r="G43" i="11"/>
  <c r="F61" i="7"/>
  <c r="F70" i="7" s="1"/>
  <c r="F47" i="7"/>
  <c r="G113" i="29" l="1"/>
  <c r="E111" i="33"/>
  <c r="G111" i="33" s="1"/>
  <c r="G47" i="10"/>
  <c r="G111" i="14"/>
  <c r="F111" i="22"/>
  <c r="E111" i="21"/>
  <c r="G111" i="21" s="1"/>
  <c r="G111" i="30"/>
  <c r="G113" i="14"/>
  <c r="E111" i="18"/>
  <c r="G111" i="18" s="1"/>
  <c r="E111" i="31"/>
  <c r="G111" i="31" s="1"/>
  <c r="G47" i="18"/>
  <c r="E111" i="24"/>
  <c r="G111" i="24" s="1"/>
  <c r="G47" i="21"/>
  <c r="G47" i="17"/>
  <c r="G113" i="30"/>
  <c r="G113" i="11"/>
  <c r="G47" i="35"/>
  <c r="G47" i="24"/>
  <c r="E69" i="30"/>
  <c r="E70" i="30" s="1"/>
  <c r="G45" i="30"/>
  <c r="G69" i="30" s="1"/>
  <c r="G70" i="30" s="1"/>
  <c r="G94" i="30" s="1"/>
  <c r="E47" i="30"/>
  <c r="G47" i="30" s="1"/>
  <c r="F61" i="16"/>
  <c r="F70" i="16" s="1"/>
  <c r="F47" i="16"/>
  <c r="E113" i="22"/>
  <c r="G113" i="22" s="1"/>
  <c r="G43" i="22"/>
  <c r="E45" i="22"/>
  <c r="E47" i="22" s="1"/>
  <c r="E69" i="26"/>
  <c r="E70" i="26" s="1"/>
  <c r="G45" i="26"/>
  <c r="G69" i="26" s="1"/>
  <c r="G70" i="26" s="1"/>
  <c r="G94" i="26" s="1"/>
  <c r="E113" i="16"/>
  <c r="G113" i="16" s="1"/>
  <c r="E45" i="16"/>
  <c r="G43" i="16"/>
  <c r="G98" i="28"/>
  <c r="G100" i="28"/>
  <c r="G45" i="31"/>
  <c r="G69" i="31" s="1"/>
  <c r="G70" i="31" s="1"/>
  <c r="G94" i="31" s="1"/>
  <c r="E69" i="31"/>
  <c r="E70" i="31" s="1"/>
  <c r="G119" i="8"/>
  <c r="F111" i="25"/>
  <c r="G111" i="7"/>
  <c r="G45" i="7"/>
  <c r="G69" i="7" s="1"/>
  <c r="G70" i="7" s="1"/>
  <c r="G94" i="7" s="1"/>
  <c r="E69" i="7"/>
  <c r="E70" i="7" s="1"/>
  <c r="E69" i="36"/>
  <c r="E70" i="36" s="1"/>
  <c r="G45" i="36"/>
  <c r="G69" i="36" s="1"/>
  <c r="G70" i="36" s="1"/>
  <c r="G94" i="36" s="1"/>
  <c r="E47" i="7"/>
  <c r="G47" i="7" s="1"/>
  <c r="G113" i="7"/>
  <c r="G47" i="29"/>
  <c r="G47" i="27"/>
  <c r="F45" i="8"/>
  <c r="F113" i="8"/>
  <c r="E69" i="11"/>
  <c r="E70" i="11" s="1"/>
  <c r="G45" i="11"/>
  <c r="G69" i="11" s="1"/>
  <c r="G70" i="11" s="1"/>
  <c r="G94" i="11" s="1"/>
  <c r="E69" i="29"/>
  <c r="E70" i="29" s="1"/>
  <c r="G45" i="29"/>
  <c r="G69" i="29" s="1"/>
  <c r="G70" i="29" s="1"/>
  <c r="G94" i="29" s="1"/>
  <c r="E113" i="8"/>
  <c r="E111" i="8" s="1"/>
  <c r="E45" i="8"/>
  <c r="G43" i="8"/>
  <c r="E45" i="25"/>
  <c r="E113" i="25"/>
  <c r="E111" i="25" s="1"/>
  <c r="G43" i="25"/>
  <c r="G100" i="12"/>
  <c r="G98" i="12"/>
  <c r="E47" i="11"/>
  <c r="G47" i="11" s="1"/>
  <c r="G45" i="21"/>
  <c r="G69" i="21" s="1"/>
  <c r="G70" i="21" s="1"/>
  <c r="G94" i="21" s="1"/>
  <c r="E69" i="21"/>
  <c r="E70" i="21" s="1"/>
  <c r="E61" i="16"/>
  <c r="G22" i="16"/>
  <c r="G61" i="16" s="1"/>
  <c r="E111" i="10"/>
  <c r="G111" i="10" s="1"/>
  <c r="E61" i="22"/>
  <c r="F70" i="37"/>
  <c r="F47" i="37"/>
  <c r="G47" i="37" s="1"/>
  <c r="G22" i="22"/>
  <c r="G61" i="22" s="1"/>
  <c r="F61" i="22"/>
  <c r="F70" i="22" s="1"/>
  <c r="F47" i="22"/>
  <c r="E47" i="14"/>
  <c r="G47" i="14" s="1"/>
  <c r="G45" i="14"/>
  <c r="G69" i="14" s="1"/>
  <c r="G70" i="14" s="1"/>
  <c r="G94" i="14" s="1"/>
  <c r="E69" i="14"/>
  <c r="E70" i="14" s="1"/>
  <c r="F47" i="25"/>
  <c r="F61" i="25"/>
  <c r="F70" i="25" s="1"/>
  <c r="G111" i="37"/>
  <c r="E47" i="26"/>
  <c r="G47" i="26" s="1"/>
  <c r="G113" i="37"/>
  <c r="E47" i="31"/>
  <c r="G47" i="31" s="1"/>
  <c r="G47" i="36"/>
  <c r="E111" i="36"/>
  <c r="G111" i="36" s="1"/>
  <c r="G112" i="16"/>
  <c r="E111" i="17"/>
  <c r="G111" i="17" s="1"/>
  <c r="G113" i="17"/>
  <c r="E47" i="33"/>
  <c r="G47" i="33" s="1"/>
  <c r="E69" i="33"/>
  <c r="E70" i="33" s="1"/>
  <c r="G45" i="33"/>
  <c r="G69" i="33" s="1"/>
  <c r="G70" i="33" s="1"/>
  <c r="G94" i="33" s="1"/>
  <c r="E69" i="24"/>
  <c r="E70" i="24" s="1"/>
  <c r="G45" i="24"/>
  <c r="G69" i="24" s="1"/>
  <c r="G70" i="24" s="1"/>
  <c r="G94" i="24" s="1"/>
  <c r="G112" i="22"/>
  <c r="G111" i="11"/>
  <c r="G113" i="27"/>
  <c r="G45" i="18"/>
  <c r="G69" i="18" s="1"/>
  <c r="G70" i="18" s="1"/>
  <c r="G94" i="18" s="1"/>
  <c r="E69" i="18"/>
  <c r="E70" i="18" s="1"/>
  <c r="G22" i="25"/>
  <c r="G61" i="25" s="1"/>
  <c r="E61" i="25"/>
  <c r="G45" i="17"/>
  <c r="G69" i="17" s="1"/>
  <c r="G70" i="17" s="1"/>
  <c r="G94" i="17" s="1"/>
  <c r="E69" i="17"/>
  <c r="E70" i="17" s="1"/>
  <c r="E69" i="37"/>
  <c r="E70" i="37" s="1"/>
  <c r="G45" i="37"/>
  <c r="G69" i="37" s="1"/>
  <c r="G70" i="37" s="1"/>
  <c r="G94" i="37" s="1"/>
  <c r="G111" i="29"/>
  <c r="G111" i="27"/>
  <c r="E69" i="10"/>
  <c r="E70" i="10" s="1"/>
  <c r="G45" i="10"/>
  <c r="G69" i="10" s="1"/>
  <c r="G70" i="10" s="1"/>
  <c r="G94" i="10" s="1"/>
  <c r="G45" i="35"/>
  <c r="G69" i="35" s="1"/>
  <c r="G70" i="35" s="1"/>
  <c r="G94" i="35" s="1"/>
  <c r="E69" i="35"/>
  <c r="E70" i="35" s="1"/>
  <c r="E111" i="35"/>
  <c r="G111" i="35" s="1"/>
  <c r="G112" i="25"/>
  <c r="F111" i="16"/>
  <c r="E69" i="27"/>
  <c r="E70" i="27" s="1"/>
  <c r="G45" i="27"/>
  <c r="G69" i="27" s="1"/>
  <c r="G70" i="27" s="1"/>
  <c r="G94" i="27" s="1"/>
  <c r="E111" i="26"/>
  <c r="G111" i="26" s="1"/>
  <c r="G101" i="12" l="1"/>
  <c r="E111" i="16"/>
  <c r="G111" i="16" s="1"/>
  <c r="E111" i="22"/>
  <c r="G111" i="22" s="1"/>
  <c r="G47" i="22"/>
  <c r="G111" i="25"/>
  <c r="G101" i="28"/>
  <c r="G100" i="35"/>
  <c r="G98" i="35"/>
  <c r="G100" i="17"/>
  <c r="G98" i="17"/>
  <c r="G98" i="31"/>
  <c r="G100" i="31"/>
  <c r="G98" i="14"/>
  <c r="G100" i="14"/>
  <c r="G113" i="8"/>
  <c r="F111" i="8"/>
  <c r="G111" i="8" s="1"/>
  <c r="G100" i="36"/>
  <c r="G98" i="36"/>
  <c r="E69" i="16"/>
  <c r="E70" i="16" s="1"/>
  <c r="G45" i="16"/>
  <c r="G69" i="16" s="1"/>
  <c r="G70" i="16" s="1"/>
  <c r="G94" i="16" s="1"/>
  <c r="E47" i="8"/>
  <c r="E69" i="8"/>
  <c r="E70" i="8" s="1"/>
  <c r="G45" i="8"/>
  <c r="G69" i="8" s="1"/>
  <c r="G70" i="8" s="1"/>
  <c r="G94" i="8" s="1"/>
  <c r="F69" i="8"/>
  <c r="F70" i="8" s="1"/>
  <c r="F47" i="8"/>
  <c r="G100" i="26"/>
  <c r="G98" i="26"/>
  <c r="G98" i="18"/>
  <c r="G100" i="18"/>
  <c r="G98" i="10"/>
  <c r="G100" i="10"/>
  <c r="E47" i="16"/>
  <c r="G47" i="16" s="1"/>
  <c r="G100" i="7"/>
  <c r="G98" i="7"/>
  <c r="G100" i="33"/>
  <c r="G98" i="33"/>
  <c r="G100" i="29"/>
  <c r="G98" i="29"/>
  <c r="G101" i="29" s="1"/>
  <c r="E69" i="22"/>
  <c r="E70" i="22" s="1"/>
  <c r="G45" i="22"/>
  <c r="G69" i="22" s="1"/>
  <c r="G70" i="22" s="1"/>
  <c r="G94" i="22" s="1"/>
  <c r="G100" i="24"/>
  <c r="G98" i="24"/>
  <c r="G100" i="30"/>
  <c r="G98" i="30"/>
  <c r="G100" i="27"/>
  <c r="G98" i="27"/>
  <c r="G100" i="37"/>
  <c r="G98" i="37"/>
  <c r="G100" i="21"/>
  <c r="G98" i="21"/>
  <c r="E47" i="25"/>
  <c r="G47" i="25" s="1"/>
  <c r="E69" i="25"/>
  <c r="E70" i="25" s="1"/>
  <c r="G45" i="25"/>
  <c r="G69" i="25" s="1"/>
  <c r="G70" i="25" s="1"/>
  <c r="G94" i="25" s="1"/>
  <c r="G100" i="11"/>
  <c r="G98" i="11"/>
  <c r="G113" i="25"/>
  <c r="G101" i="21" l="1"/>
  <c r="G101" i="37"/>
  <c r="G101" i="7"/>
  <c r="G101" i="24"/>
  <c r="G101" i="36"/>
  <c r="G101" i="17"/>
  <c r="G101" i="30"/>
  <c r="G101" i="14"/>
  <c r="G101" i="18"/>
  <c r="G101" i="26"/>
  <c r="G101" i="33"/>
  <c r="G47" i="8"/>
  <c r="G101" i="35"/>
  <c r="G101" i="27"/>
  <c r="G100" i="16"/>
  <c r="G98" i="16"/>
  <c r="F119" i="5"/>
  <c r="F20" i="5"/>
  <c r="F17" i="4"/>
  <c r="G101" i="11"/>
  <c r="G98" i="25"/>
  <c r="G100" i="25"/>
  <c r="G101" i="31"/>
  <c r="G98" i="22"/>
  <c r="G100" i="22"/>
  <c r="G100" i="8"/>
  <c r="G98" i="8"/>
  <c r="G40" i="5"/>
  <c r="E43" i="5"/>
  <c r="E40" i="4"/>
  <c r="G101" i="10"/>
  <c r="F43" i="5"/>
  <c r="F40" i="4"/>
  <c r="G17" i="5"/>
  <c r="E20" i="5"/>
  <c r="E119" i="5"/>
  <c r="E17" i="4"/>
  <c r="G101" i="16" l="1"/>
  <c r="G40" i="4"/>
  <c r="G101" i="8"/>
  <c r="E119" i="4"/>
  <c r="G119" i="5"/>
  <c r="G101" i="25"/>
  <c r="F113" i="5"/>
  <c r="F45" i="5"/>
  <c r="F69" i="5" s="1"/>
  <c r="F43" i="4"/>
  <c r="G101" i="22"/>
  <c r="G17" i="4"/>
  <c r="F119" i="4"/>
  <c r="G119" i="4" s="1"/>
  <c r="E113" i="5"/>
  <c r="G43" i="5"/>
  <c r="E45" i="5"/>
  <c r="E43" i="4"/>
  <c r="F112" i="5"/>
  <c r="F22" i="5"/>
  <c r="F20" i="4"/>
  <c r="E112" i="5"/>
  <c r="G20" i="5"/>
  <c r="E22" i="5"/>
  <c r="E20" i="4"/>
  <c r="E111" i="5" l="1"/>
  <c r="G113" i="5"/>
  <c r="F22" i="4"/>
  <c r="F112" i="4"/>
  <c r="F61" i="5"/>
  <c r="F70" i="5" s="1"/>
  <c r="F47" i="5"/>
  <c r="G112" i="5"/>
  <c r="F111" i="5"/>
  <c r="E45" i="4"/>
  <c r="E113" i="4"/>
  <c r="G43" i="4"/>
  <c r="F113" i="4"/>
  <c r="F45" i="4"/>
  <c r="F69" i="4" s="1"/>
  <c r="G20" i="4"/>
  <c r="E112" i="4"/>
  <c r="E22" i="4"/>
  <c r="G45" i="5"/>
  <c r="G69" i="5" s="1"/>
  <c r="E69" i="5"/>
  <c r="E61" i="5"/>
  <c r="G22" i="5"/>
  <c r="G61" i="5" s="1"/>
  <c r="E47" i="5"/>
  <c r="G47" i="5" l="1"/>
  <c r="E70" i="5"/>
  <c r="G111" i="5"/>
  <c r="G113" i="4"/>
  <c r="G70" i="5"/>
  <c r="G94" i="5" s="1"/>
  <c r="E69" i="4"/>
  <c r="G45" i="4"/>
  <c r="E47" i="4"/>
  <c r="G22" i="4"/>
  <c r="G61" i="4" s="1"/>
  <c r="E61" i="4"/>
  <c r="G112" i="4"/>
  <c r="E111" i="4"/>
  <c r="F111" i="4"/>
  <c r="F61" i="4"/>
  <c r="F70" i="4" s="1"/>
  <c r="F47" i="4"/>
  <c r="G111" i="4" l="1"/>
  <c r="E70" i="4"/>
  <c r="G47" i="4"/>
  <c r="G69" i="4"/>
  <c r="G70" i="4" s="1"/>
  <c r="G94" i="4" s="1"/>
  <c r="G98" i="4" s="1"/>
  <c r="G98" i="5"/>
  <c r="G100" i="5"/>
  <c r="G100" i="4" s="1"/>
  <c r="G101" i="5" l="1"/>
  <c r="G101" i="4" s="1"/>
</calcChain>
</file>

<file path=xl/sharedStrings.xml><?xml version="1.0" encoding="utf-8"?>
<sst xmlns="http://schemas.openxmlformats.org/spreadsheetml/2006/main" count="5377" uniqueCount="171">
  <si>
    <t>Input dati 
Ciclo integrato RU</t>
  </si>
  <si>
    <t>Legenda celle</t>
  </si>
  <si>
    <t>G</t>
  </si>
  <si>
    <t>compilazione libera</t>
  </si>
  <si>
    <t>non compilabile</t>
  </si>
  <si>
    <t>celle contenenti formule</t>
  </si>
  <si>
    <t>celle contenenti formule/totali</t>
  </si>
  <si>
    <t>E</t>
  </si>
  <si>
    <t>C</t>
  </si>
  <si>
    <t>Oneri relativi all'IVA indetraibile</t>
  </si>
  <si>
    <t xml:space="preserve">                        - di cui costi di gestione post-operativa delle discariche</t>
  </si>
  <si>
    <t xml:space="preserve">                        - di cui per crediti</t>
  </si>
  <si>
    <t xml:space="preserve">                        - di cui per rischi e oneri previsti da normativa di settore e/o dal contratto di affidamento</t>
  </si>
  <si>
    <t xml:space="preserve">                        - di cui per altri non in eccesso rispetto a norme tributarie</t>
  </si>
  <si>
    <t>Detrazioni di cui al comma 1.4 della Determina n. 2/DRIF/2020</t>
  </si>
  <si>
    <t xml:space="preserve">Grandezze fisico-tecniche </t>
  </si>
  <si>
    <t>Coefficiente di gradualità</t>
  </si>
  <si>
    <t>Verifica del limite di crescita</t>
  </si>
  <si>
    <t>MTR</t>
  </si>
  <si>
    <t xml:space="preserve">Attività esterne Ciclo integrato RU </t>
  </si>
  <si>
    <t>N° COMUNI</t>
  </si>
  <si>
    <t>N° Progressivo</t>
  </si>
  <si>
    <t>Nome Comuni</t>
  </si>
  <si>
    <t>Detrazioni di cui al comma 4.5 della Deliberazione 443/2019/R/RIF</t>
  </si>
  <si>
    <t>Riclassificazione dei costi fissi e variabili per il rispetto condizione art. 3 MTR</t>
  </si>
  <si>
    <t xml:space="preserve">       PEF 2021</t>
  </si>
  <si>
    <t>Appendice 1 al MTR (versione integrata con la deliberazione 493/2020/R/RIF)</t>
  </si>
  <si>
    <t>Input gestori (G) 
Input Ente territorialmente competente (E)
Dato calcolato (C)
Dato MTR (MTR)</t>
  </si>
  <si>
    <t>Costi del/i gestore/i diverso/i dal Comune</t>
  </si>
  <si>
    <t>Costi 
del/i Comune/i</t>
  </si>
  <si>
    <t>Ciclo integrato
 RU (TOT PEF)</t>
  </si>
  <si>
    <t>E-G</t>
  </si>
  <si>
    <t>Ulteriori componenti ex deliberazioni 443/2019/R/RIF, 238/2020/R/RIF e 493/2020/R/RIF</t>
  </si>
  <si>
    <t xml:space="preserve">Deroga ex art. 107 c.5 d.l. 18/20: differenza tra costi variabili 2019 e costi variabili da PEF 2020 approvato in applicazione del MTR </t>
  </si>
  <si>
    <t>Numero di anni per il recupero della differenza tra costi 2019 e costi da PEF 2020 approvato in applicazione del MTR</t>
  </si>
  <si>
    <t>Quota (relativa ai costi variabili) dei conguagli residui afferenti alle determinazioni tariffarie del 2020, da recuperare nel 2021</t>
  </si>
  <si>
    <t xml:space="preserve">Deroga ex art. 107 c.5 d.l. 18/20: differenza tra costi fissi 2019 e costi fissi da PEF 2020 approvato in applicazione del MTR </t>
  </si>
  <si>
    <t>Quota (relativa ai costi fissi) dei conguagli residui afferenti alle determinazioni tariffarie del 2020, da recuperare nel 2021</t>
  </si>
  <si>
    <t>(1+r)</t>
  </si>
  <si>
    <t>Quota residua dei conguagli relativi all’annualità 2018 (come determinati nell’ambito del PEF 2020)</t>
  </si>
  <si>
    <t>Quota residua dei conguagli relativi all’annualità 2019</t>
  </si>
  <si>
    <t xml:space="preserve">di cui quota residua della componente a conguaglio dei costi variabili riconosciuta, relativa all'annualità 2019 </t>
  </si>
  <si>
    <t>di cui quota residua della componente a conguaglio dei costi fissi riconosciuta, relativa all'annualità 2019</t>
  </si>
  <si>
    <t xml:space="preserve">Componente a conguaglio relativa all'annualità 2019   RC = RCTV+RCTF </t>
  </si>
  <si>
    <t xml:space="preserve">Numero di rate residue della componente a conguaglio RC relativa all'annualità 2019 </t>
  </si>
  <si>
    <r>
      <t xml:space="preserve">Costi dell’attività di raccolta e trasporto dei rifiuti urbani indifferenziati   </t>
    </r>
    <r>
      <rPr>
        <b/>
        <i/>
        <sz val="12"/>
        <color theme="1"/>
        <rFont val="Calibri"/>
        <family val="2"/>
        <scheme val="minor"/>
      </rPr>
      <t>CRT</t>
    </r>
  </si>
  <si>
    <r>
      <t xml:space="preserve">Costi dell’attività di trattamento e smaltimento dei rifiuti urbani   </t>
    </r>
    <r>
      <rPr>
        <b/>
        <i/>
        <sz val="12"/>
        <color theme="1"/>
        <rFont val="Calibri"/>
        <family val="2"/>
        <scheme val="minor"/>
      </rPr>
      <t>CTS</t>
    </r>
  </si>
  <si>
    <r>
      <t xml:space="preserve">Costi dell’attività di trattamento e recupero dei rifiuti urbani   </t>
    </r>
    <r>
      <rPr>
        <b/>
        <i/>
        <sz val="12"/>
        <color theme="1"/>
        <rFont val="Calibri"/>
        <family val="2"/>
        <scheme val="minor"/>
      </rPr>
      <t>CTR</t>
    </r>
  </si>
  <si>
    <r>
      <t xml:space="preserve">Costi dell’attività di raccolta e trasporto delle frazioni differenziate   </t>
    </r>
    <r>
      <rPr>
        <b/>
        <i/>
        <sz val="12"/>
        <color theme="1"/>
        <rFont val="Calibri"/>
        <family val="2"/>
        <scheme val="minor"/>
      </rPr>
      <t>CRD</t>
    </r>
  </si>
  <si>
    <r>
      <t xml:space="preserve">Costi operativi incentivanti variabili di cui all'articolo 8 del MTR   </t>
    </r>
    <r>
      <rPr>
        <b/>
        <i/>
        <sz val="12"/>
        <color theme="1"/>
        <rFont val="Calibri"/>
        <family val="2"/>
        <scheme val="minor"/>
      </rPr>
      <t>COI</t>
    </r>
    <r>
      <rPr>
        <b/>
        <i/>
        <vertAlign val="superscript"/>
        <sz val="12"/>
        <color theme="1"/>
        <rFont val="Calibri"/>
        <family val="2"/>
        <scheme val="minor"/>
      </rPr>
      <t>EXP</t>
    </r>
    <r>
      <rPr>
        <b/>
        <i/>
        <vertAlign val="subscript"/>
        <sz val="12"/>
        <color theme="1"/>
        <rFont val="Calibri"/>
        <family val="2"/>
        <scheme val="minor"/>
      </rPr>
      <t>TV</t>
    </r>
  </si>
  <si>
    <r>
      <t xml:space="preserve">Proventi della vendita di materiale ed energia derivante da rifiuti   </t>
    </r>
    <r>
      <rPr>
        <b/>
        <i/>
        <sz val="12"/>
        <color theme="1"/>
        <rFont val="Calibri"/>
        <family val="2"/>
        <scheme val="minor"/>
      </rPr>
      <t>AR</t>
    </r>
  </si>
  <si>
    <r>
      <t xml:space="preserve">Fattore di Sharing   </t>
    </r>
    <r>
      <rPr>
        <b/>
        <i/>
        <sz val="12"/>
        <color theme="1"/>
        <rFont val="Calibri"/>
        <family val="2"/>
        <scheme val="minor"/>
      </rPr>
      <t>b</t>
    </r>
  </si>
  <si>
    <r>
      <t xml:space="preserve">Proventi della vendita di materiale ed energia derivante da rifiuti dopo sharing   </t>
    </r>
    <r>
      <rPr>
        <b/>
        <i/>
        <sz val="12"/>
        <color theme="1"/>
        <rFont val="Calibri"/>
        <family val="2"/>
        <scheme val="minor"/>
      </rPr>
      <t>b(AR)</t>
    </r>
  </si>
  <si>
    <r>
      <t xml:space="preserve">Ricavi derivanti dai corrispettivi riconosciuti dal CONAI   </t>
    </r>
    <r>
      <rPr>
        <b/>
        <i/>
        <sz val="12"/>
        <color theme="1"/>
        <rFont val="Calibri"/>
        <family val="2"/>
        <scheme val="minor"/>
      </rPr>
      <t>AR</t>
    </r>
    <r>
      <rPr>
        <b/>
        <i/>
        <vertAlign val="subscript"/>
        <sz val="12"/>
        <color theme="1"/>
        <rFont val="Calibri"/>
        <family val="2"/>
        <scheme val="minor"/>
      </rPr>
      <t>CONAI</t>
    </r>
  </si>
  <si>
    <r>
      <t xml:space="preserve">Fattore di Sharing    </t>
    </r>
    <r>
      <rPr>
        <b/>
        <i/>
        <sz val="12"/>
        <color theme="1"/>
        <rFont val="Calibri"/>
        <family val="2"/>
        <scheme val="minor"/>
      </rPr>
      <t>b(1+ω)</t>
    </r>
  </si>
  <si>
    <r>
      <t xml:space="preserve">Ricavi derivanti dai corrispettivi riconosciuti dal CONAI dopo sharing   </t>
    </r>
    <r>
      <rPr>
        <b/>
        <i/>
        <sz val="12"/>
        <color theme="1"/>
        <rFont val="Calibri"/>
        <family val="2"/>
        <scheme val="minor"/>
      </rPr>
      <t>b(1+ω)AR</t>
    </r>
    <r>
      <rPr>
        <b/>
        <i/>
        <vertAlign val="subscript"/>
        <sz val="12"/>
        <color theme="1"/>
        <rFont val="Calibri"/>
        <family val="2"/>
        <scheme val="minor"/>
      </rPr>
      <t>CONAI</t>
    </r>
  </si>
  <si>
    <r>
      <t>Componente a conguaglio relativa ai costi variabili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RC</t>
    </r>
    <r>
      <rPr>
        <b/>
        <i/>
        <vertAlign val="subscript"/>
        <sz val="12"/>
        <color theme="1"/>
        <rFont val="Calibri"/>
        <family val="2"/>
        <scheme val="minor"/>
      </rPr>
      <t>TV</t>
    </r>
  </si>
  <si>
    <r>
      <t xml:space="preserve">Coefficiente di gradualità   </t>
    </r>
    <r>
      <rPr>
        <b/>
        <i/>
        <sz val="12"/>
        <color theme="1"/>
        <rFont val="Calibri"/>
        <family val="2"/>
        <scheme val="minor"/>
      </rPr>
      <t>(1+ɣ)</t>
    </r>
  </si>
  <si>
    <r>
      <t xml:space="preserve">Numero di rate 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r</t>
    </r>
  </si>
  <si>
    <r>
      <rPr>
        <sz val="12"/>
        <color theme="1"/>
        <rFont val="Calibri"/>
        <family val="2"/>
        <scheme val="minor"/>
      </rPr>
      <t>Componente a conguaglio relativa ai costi variabili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riconosciuta</t>
    </r>
    <r>
      <rPr>
        <i/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(1+ɣ)RC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i/>
        <sz val="12"/>
        <color theme="1"/>
        <rFont val="Calibri"/>
        <family val="2"/>
        <scheme val="minor"/>
      </rPr>
      <t>/r</t>
    </r>
  </si>
  <si>
    <r>
      <rPr>
        <b/>
        <i/>
        <sz val="12"/>
        <color theme="1"/>
        <rFont val="Calibri"/>
        <family val="2"/>
        <scheme val="minor"/>
      </rPr>
      <t>∑TV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</t>
    </r>
  </si>
  <si>
    <r>
      <t xml:space="preserve">Costi dell’attività di spazzamento e di lavaggio   </t>
    </r>
    <r>
      <rPr>
        <b/>
        <i/>
        <sz val="12"/>
        <color theme="1"/>
        <rFont val="Calibri"/>
        <family val="2"/>
        <scheme val="minor"/>
      </rPr>
      <t>CSL</t>
    </r>
  </si>
  <si>
    <r>
      <t xml:space="preserve">                    Costi per l’attività di gestione delle tariffe e dei rapporti con gli utenti   </t>
    </r>
    <r>
      <rPr>
        <b/>
        <i/>
        <sz val="12"/>
        <color theme="1"/>
        <rFont val="Calibri"/>
        <family val="2"/>
        <scheme val="minor"/>
      </rPr>
      <t>CARC</t>
    </r>
  </si>
  <si>
    <r>
      <t xml:space="preserve">                    Costi generali di gestione   </t>
    </r>
    <r>
      <rPr>
        <b/>
        <i/>
        <sz val="12"/>
        <color theme="1"/>
        <rFont val="Calibri"/>
        <family val="2"/>
        <scheme val="minor"/>
      </rPr>
      <t>CGG</t>
    </r>
  </si>
  <si>
    <r>
      <t xml:space="preserve">                    Costi relativi alla quota di crediti inesigibili    </t>
    </r>
    <r>
      <rPr>
        <b/>
        <i/>
        <sz val="12"/>
        <color theme="1"/>
        <rFont val="Calibri"/>
        <family val="2"/>
        <scheme val="minor"/>
      </rPr>
      <t>CCD</t>
    </r>
  </si>
  <si>
    <r>
      <t xml:space="preserve">                    Altri costi   </t>
    </r>
    <r>
      <rPr>
        <b/>
        <i/>
        <sz val="12"/>
        <color theme="1"/>
        <rFont val="Calibri"/>
        <family val="2"/>
        <scheme val="minor"/>
      </rPr>
      <t>CO</t>
    </r>
    <r>
      <rPr>
        <b/>
        <i/>
        <vertAlign val="subscript"/>
        <sz val="12"/>
        <color theme="1"/>
        <rFont val="Calibri"/>
        <family val="2"/>
        <scheme val="minor"/>
      </rPr>
      <t>AL</t>
    </r>
  </si>
  <si>
    <r>
      <t xml:space="preserve">Costi comuni   </t>
    </r>
    <r>
      <rPr>
        <b/>
        <i/>
        <sz val="12"/>
        <color theme="1"/>
        <rFont val="Calibri"/>
        <family val="2"/>
        <scheme val="minor"/>
      </rPr>
      <t>CC</t>
    </r>
  </si>
  <si>
    <r>
      <t xml:space="preserve">                  Ammortamenti   </t>
    </r>
    <r>
      <rPr>
        <b/>
        <i/>
        <sz val="12"/>
        <color theme="1"/>
        <rFont val="Calibri"/>
        <family val="2"/>
        <scheme val="minor"/>
      </rPr>
      <t>Amm</t>
    </r>
  </si>
  <si>
    <r>
      <t xml:space="preserve">                  Accantonamenti   </t>
    </r>
    <r>
      <rPr>
        <b/>
        <i/>
        <sz val="12"/>
        <color theme="1"/>
        <rFont val="Calibri"/>
        <family val="2"/>
        <scheme val="minor"/>
      </rPr>
      <t>Acc</t>
    </r>
  </si>
  <si>
    <r>
      <t xml:space="preserve">                Remunerazione del capitale investito netto 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R</t>
    </r>
  </si>
  <si>
    <r>
      <t xml:space="preserve">               Remunerazione delle immobilizzazioni in corso   </t>
    </r>
    <r>
      <rPr>
        <b/>
        <i/>
        <sz val="12"/>
        <color theme="1"/>
        <rFont val="Calibri"/>
        <family val="2"/>
        <scheme val="minor"/>
      </rPr>
      <t>R</t>
    </r>
    <r>
      <rPr>
        <b/>
        <i/>
        <vertAlign val="subscript"/>
        <sz val="12"/>
        <color theme="1"/>
        <rFont val="Calibri"/>
        <family val="2"/>
        <scheme val="minor"/>
      </rPr>
      <t>LIC</t>
    </r>
  </si>
  <si>
    <r>
      <t xml:space="preserve">Costi d'uso del capitale </t>
    </r>
    <r>
      <rPr>
        <b/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CK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</si>
  <si>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Costi operativi incentivanti fissi di cui all'articolo 8 del MTR   </t>
    </r>
    <r>
      <rPr>
        <b/>
        <i/>
        <sz val="12"/>
        <color theme="1"/>
        <rFont val="Calibri"/>
        <family val="2"/>
        <scheme val="minor"/>
      </rPr>
      <t>COI</t>
    </r>
    <r>
      <rPr>
        <b/>
        <i/>
        <vertAlign val="superscript"/>
        <sz val="12"/>
        <color theme="1"/>
        <rFont val="Calibri"/>
        <family val="2"/>
        <scheme val="minor"/>
      </rPr>
      <t>EXP</t>
    </r>
    <r>
      <rPr>
        <b/>
        <i/>
        <vertAlign val="subscript"/>
        <sz val="12"/>
        <color theme="1"/>
        <rFont val="Calibri"/>
        <family val="2"/>
        <scheme val="minor"/>
      </rPr>
      <t>TF</t>
    </r>
  </si>
  <si>
    <r>
      <t xml:space="preserve">Componente a conguaglio relativa ai costi fissi   </t>
    </r>
    <r>
      <rPr>
        <b/>
        <i/>
        <sz val="12"/>
        <color theme="1"/>
        <rFont val="Calibri"/>
        <family val="2"/>
        <scheme val="minor"/>
      </rPr>
      <t>RC</t>
    </r>
    <r>
      <rPr>
        <b/>
        <i/>
        <vertAlign val="subscript"/>
        <sz val="12"/>
        <color theme="1"/>
        <rFont val="Calibri"/>
        <family val="2"/>
        <scheme val="minor"/>
      </rPr>
      <t>TF</t>
    </r>
  </si>
  <si>
    <r>
      <t xml:space="preserve">Coefficiente di gradualità 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(1+ɣ)</t>
    </r>
  </si>
  <si>
    <r>
      <t xml:space="preserve">Numero di rate   </t>
    </r>
    <r>
      <rPr>
        <b/>
        <i/>
        <sz val="12"/>
        <color theme="1"/>
        <rFont val="Calibri"/>
        <family val="2"/>
        <scheme val="minor"/>
      </rPr>
      <t>r</t>
    </r>
  </si>
  <si>
    <r>
      <t xml:space="preserve">Componente a conguaglio relativa ai costi fissi </t>
    </r>
    <r>
      <rPr>
        <sz val="12"/>
        <rFont val="Calibri"/>
        <family val="2"/>
        <scheme val="minor"/>
      </rPr>
      <t>riconosciuta</t>
    </r>
    <r>
      <rPr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(1+ɣ)RC</t>
    </r>
    <r>
      <rPr>
        <b/>
        <i/>
        <vertAlign val="subscript"/>
        <sz val="12"/>
        <color theme="1"/>
        <rFont val="Calibri"/>
        <family val="2"/>
        <scheme val="minor"/>
      </rPr>
      <t>TF</t>
    </r>
    <r>
      <rPr>
        <b/>
        <i/>
        <sz val="12"/>
        <color theme="1"/>
        <rFont val="Calibri"/>
        <family val="2"/>
        <scheme val="minor"/>
      </rPr>
      <t>/r</t>
    </r>
  </si>
  <si>
    <r>
      <rPr>
        <b/>
        <i/>
        <sz val="12"/>
        <color theme="1"/>
        <rFont val="Calibri"/>
        <family val="2"/>
        <scheme val="minor"/>
      </rPr>
      <t>∑TF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totale delle entrate tariffarie relative alle componenti di costo fisse</t>
    </r>
  </si>
  <si>
    <r>
      <t>∑T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i/>
        <sz val="12"/>
        <color theme="1"/>
        <rFont val="Calibri"/>
        <family val="2"/>
        <scheme val="minor"/>
      </rPr>
      <t>= ∑TV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i/>
        <sz val="12"/>
        <color theme="1"/>
        <rFont val="Calibri"/>
        <family val="2"/>
        <scheme val="minor"/>
      </rPr>
      <t xml:space="preserve"> + ∑TF</t>
    </r>
    <r>
      <rPr>
        <b/>
        <i/>
        <vertAlign val="subscript"/>
        <sz val="12"/>
        <color theme="1"/>
        <rFont val="Calibri"/>
        <family val="2"/>
        <scheme val="minor"/>
      </rPr>
      <t>a</t>
    </r>
  </si>
  <si>
    <r>
      <t xml:space="preserve">Scostamento atteso dei costi variabili di cui all'articolo 7 bis del MTR   </t>
    </r>
    <r>
      <rPr>
        <b/>
        <i/>
        <sz val="12"/>
        <color theme="1"/>
        <rFont val="Calibri"/>
        <family val="2"/>
        <scheme val="minor"/>
      </rPr>
      <t>COV</t>
    </r>
    <r>
      <rPr>
        <b/>
        <i/>
        <vertAlign val="superscript"/>
        <sz val="12"/>
        <color theme="1"/>
        <rFont val="Calibri"/>
        <family val="2"/>
        <scheme val="minor"/>
      </rPr>
      <t>EXP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rFont val="Calibri"/>
        <family val="2"/>
        <scheme val="minor"/>
      </rPr>
      <t>2021</t>
    </r>
  </si>
  <si>
    <r>
      <t xml:space="preserve">Oneri variabili per la tutela delle utenze domestiche di cui al comma 7 ter.1 del MTR   </t>
    </r>
    <r>
      <rPr>
        <b/>
        <i/>
        <sz val="12"/>
        <color theme="1"/>
        <rFont val="Calibri"/>
        <family val="2"/>
        <scheme val="minor"/>
      </rPr>
      <t>COS</t>
    </r>
    <r>
      <rPr>
        <b/>
        <i/>
        <vertAlign val="superscript"/>
        <sz val="12"/>
        <color theme="1"/>
        <rFont val="Calibri"/>
        <family val="2"/>
        <scheme val="minor"/>
      </rPr>
      <t>EXP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color theme="1"/>
        <rFont val="Calibri"/>
        <family val="2"/>
        <scheme val="minor"/>
      </rPr>
      <t>,2021</t>
    </r>
  </si>
  <si>
    <r>
      <t>Numero di rate</t>
    </r>
    <r>
      <rPr>
        <sz val="12"/>
        <color rgb="FFFF000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r'</t>
    </r>
  </si>
  <si>
    <r>
      <t>Rata annuale RCND</t>
    </r>
    <r>
      <rPr>
        <vertAlign val="subscript"/>
        <sz val="12"/>
        <rFont val="Calibri"/>
        <family val="2"/>
        <scheme val="minor"/>
      </rPr>
      <t>TV</t>
    </r>
    <r>
      <rPr>
        <sz val="12"/>
        <rFont val="Calibri"/>
        <family val="2"/>
        <scheme val="minor"/>
      </rPr>
      <t xml:space="preserve">   </t>
    </r>
    <r>
      <rPr>
        <b/>
        <i/>
        <sz val="12"/>
        <rFont val="Calibri"/>
        <family val="2"/>
        <scheme val="minor"/>
      </rPr>
      <t>RCND</t>
    </r>
    <r>
      <rPr>
        <b/>
        <i/>
        <vertAlign val="subscript"/>
        <sz val="12"/>
        <rFont val="Calibri"/>
        <family val="2"/>
        <scheme val="minor"/>
      </rPr>
      <t>TV</t>
    </r>
    <r>
      <rPr>
        <b/>
        <i/>
        <sz val="12"/>
        <rFont val="Calibri"/>
        <family val="2"/>
        <scheme val="minor"/>
      </rPr>
      <t>/r'</t>
    </r>
  </si>
  <si>
    <r>
      <t xml:space="preserve">Rata annuale conguaglio relativa ai costi variabili per deroga ex art. 107, c. 5, d.l. 18/20   </t>
    </r>
    <r>
      <rPr>
        <b/>
        <i/>
        <sz val="12"/>
        <rFont val="Calibri"/>
        <family val="2"/>
        <scheme val="minor"/>
      </rPr>
      <t>RCU</t>
    </r>
    <r>
      <rPr>
        <b/>
        <i/>
        <vertAlign val="subscript"/>
        <sz val="12"/>
        <rFont val="Calibri"/>
        <family val="2"/>
        <scheme val="minor"/>
      </rPr>
      <t>TV</t>
    </r>
  </si>
  <si>
    <r>
      <t xml:space="preserve">       di cui quota dei conguagli relativi all'annualità 2018  </t>
    </r>
    <r>
      <rPr>
        <b/>
        <i/>
        <sz val="12"/>
        <rFont val="Calibri"/>
        <family val="2"/>
        <scheme val="minor"/>
      </rPr>
      <t>(1+ɣ</t>
    </r>
    <r>
      <rPr>
        <b/>
        <i/>
        <vertAlign val="subscript"/>
        <sz val="12"/>
        <rFont val="Calibri"/>
        <family val="2"/>
        <scheme val="minor"/>
      </rPr>
      <t>2020</t>
    </r>
    <r>
      <rPr>
        <b/>
        <i/>
        <sz val="12"/>
        <rFont val="Calibri"/>
        <family val="2"/>
        <scheme val="minor"/>
      </rPr>
      <t>)RC</t>
    </r>
    <r>
      <rPr>
        <b/>
        <i/>
        <vertAlign val="subscript"/>
        <sz val="12"/>
        <rFont val="Calibri"/>
        <family val="2"/>
        <scheme val="minor"/>
      </rPr>
      <t>TV,2020</t>
    </r>
    <r>
      <rPr>
        <b/>
        <i/>
        <sz val="12"/>
        <rFont val="Calibri"/>
        <family val="2"/>
        <scheme val="minor"/>
      </rPr>
      <t>/r</t>
    </r>
    <r>
      <rPr>
        <b/>
        <i/>
        <vertAlign val="subscript"/>
        <sz val="12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 xml:space="preserve">  </t>
    </r>
    <r>
      <rPr>
        <i/>
        <sz val="12"/>
        <rFont val="Calibri"/>
        <family val="2"/>
        <scheme val="minor"/>
      </rPr>
      <t xml:space="preserve">  (se r</t>
    </r>
    <r>
      <rPr>
        <i/>
        <vertAlign val="subscript"/>
        <sz val="12"/>
        <rFont val="Calibri"/>
        <family val="2"/>
        <scheme val="minor"/>
      </rPr>
      <t>2020</t>
    </r>
    <r>
      <rPr>
        <i/>
        <sz val="12"/>
        <rFont val="Calibri"/>
        <family val="2"/>
        <scheme val="minor"/>
      </rPr>
      <t xml:space="preserve"> &gt; 1)</t>
    </r>
  </si>
  <si>
    <r>
      <t xml:space="preserve">Numero di rate conguagli relativi all'annualità 2018 (RC 2020)   </t>
    </r>
    <r>
      <rPr>
        <b/>
        <i/>
        <sz val="12"/>
        <rFont val="Calibri"/>
        <family val="2"/>
        <scheme val="minor"/>
      </rPr>
      <t>r</t>
    </r>
    <r>
      <rPr>
        <vertAlign val="subscript"/>
        <sz val="12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 xml:space="preserve">       </t>
    </r>
    <r>
      <rPr>
        <i/>
        <sz val="12"/>
        <rFont val="Calibri"/>
        <family val="2"/>
        <scheme val="minor"/>
      </rPr>
      <t>(da PEF 2020)</t>
    </r>
  </si>
  <si>
    <r>
      <t>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(ex deliberazioni 443/2019/R/RIF, 238/2020/R/RIF e </t>
    </r>
    <r>
      <rPr>
        <b/>
        <sz val="12"/>
        <rFont val="Calibri"/>
        <family val="2"/>
        <scheme val="minor"/>
      </rPr>
      <t>493</t>
    </r>
    <r>
      <rPr>
        <b/>
        <sz val="12"/>
        <color theme="1"/>
        <rFont val="Calibri"/>
        <family val="2"/>
        <scheme val="minor"/>
      </rPr>
      <t>/2020/R/RIF)</t>
    </r>
  </si>
  <si>
    <r>
      <t xml:space="preserve">Scostamento atteso dei costi fissi di cui all'articolo 7 bis del MTR   </t>
    </r>
    <r>
      <rPr>
        <b/>
        <i/>
        <sz val="12"/>
        <rFont val="Calibri"/>
        <family val="2"/>
        <scheme val="minor"/>
      </rPr>
      <t>COV</t>
    </r>
    <r>
      <rPr>
        <b/>
        <i/>
        <vertAlign val="superscript"/>
        <sz val="12"/>
        <rFont val="Calibri"/>
        <family val="2"/>
        <scheme val="minor"/>
      </rPr>
      <t>EXP</t>
    </r>
    <r>
      <rPr>
        <b/>
        <i/>
        <vertAlign val="subscript"/>
        <sz val="12"/>
        <rFont val="Calibri"/>
        <family val="2"/>
        <scheme val="minor"/>
      </rPr>
      <t>TF</t>
    </r>
    <r>
      <rPr>
        <b/>
        <vertAlign val="subscript"/>
        <sz val="12"/>
        <rFont val="Calibri"/>
        <family val="2"/>
        <scheme val="minor"/>
      </rPr>
      <t>2021</t>
    </r>
  </si>
  <si>
    <r>
      <t xml:space="preserve">Rata annuale conguaglio relativa ai costi fissi per deroga ex art. 107, c. 5, d.l. 18/20   </t>
    </r>
    <r>
      <rPr>
        <b/>
        <i/>
        <sz val="12"/>
        <rFont val="Calibri"/>
        <family val="2"/>
        <scheme val="minor"/>
      </rPr>
      <t>RCU</t>
    </r>
    <r>
      <rPr>
        <b/>
        <i/>
        <vertAlign val="subscript"/>
        <sz val="12"/>
        <rFont val="Calibri"/>
        <family val="2"/>
        <scheme val="minor"/>
      </rPr>
      <t>TF</t>
    </r>
  </si>
  <si>
    <r>
      <t xml:space="preserve">       di cui quota dei conguagli relativi all'annualità 2018   </t>
    </r>
    <r>
      <rPr>
        <b/>
        <i/>
        <sz val="12"/>
        <rFont val="Calibri"/>
        <family val="2"/>
        <scheme val="minor"/>
      </rPr>
      <t>(1+ɣ</t>
    </r>
    <r>
      <rPr>
        <b/>
        <i/>
        <vertAlign val="subscript"/>
        <sz val="12"/>
        <rFont val="Calibri"/>
        <family val="2"/>
        <scheme val="minor"/>
      </rPr>
      <t>2020</t>
    </r>
    <r>
      <rPr>
        <b/>
        <i/>
        <sz val="12"/>
        <rFont val="Calibri"/>
        <family val="2"/>
        <scheme val="minor"/>
      </rPr>
      <t>)RC</t>
    </r>
    <r>
      <rPr>
        <b/>
        <i/>
        <vertAlign val="subscript"/>
        <sz val="12"/>
        <rFont val="Calibri"/>
        <family val="2"/>
        <scheme val="minor"/>
      </rPr>
      <t>TF,2020</t>
    </r>
    <r>
      <rPr>
        <b/>
        <i/>
        <sz val="12"/>
        <rFont val="Calibri"/>
        <family val="2"/>
        <scheme val="minor"/>
      </rPr>
      <t>/r</t>
    </r>
    <r>
      <rPr>
        <vertAlign val="subscript"/>
        <sz val="12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 xml:space="preserve">       </t>
    </r>
    <r>
      <rPr>
        <i/>
        <sz val="12"/>
        <rFont val="Calibri"/>
        <family val="2"/>
        <scheme val="minor"/>
      </rPr>
      <t>(se r</t>
    </r>
    <r>
      <rPr>
        <i/>
        <vertAlign val="subscript"/>
        <sz val="12"/>
        <rFont val="Calibri"/>
        <family val="2"/>
        <scheme val="minor"/>
      </rPr>
      <t>2020</t>
    </r>
    <r>
      <rPr>
        <i/>
        <sz val="12"/>
        <rFont val="Calibri"/>
        <family val="2"/>
        <scheme val="minor"/>
      </rPr>
      <t xml:space="preserve"> &gt; 1)</t>
    </r>
  </si>
  <si>
    <r>
      <t>Numero di rate conguagli relativi all'annualità 2018 (RC 2020)   r</t>
    </r>
    <r>
      <rPr>
        <vertAlign val="subscript"/>
        <sz val="12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 xml:space="preserve">       </t>
    </r>
    <r>
      <rPr>
        <i/>
        <sz val="12"/>
        <rFont val="Calibri"/>
        <family val="2"/>
        <scheme val="minor"/>
      </rPr>
      <t>(da PEF 2020)</t>
    </r>
  </si>
  <si>
    <r>
      <t>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fisse  (ex deliberazioni 443/2019/R/RIF, 238/2020/R/RIF e </t>
    </r>
    <r>
      <rPr>
        <b/>
        <sz val="12"/>
        <rFont val="Calibri"/>
        <family val="2"/>
        <scheme val="minor"/>
      </rPr>
      <t>493</t>
    </r>
    <r>
      <rPr>
        <b/>
        <sz val="12"/>
        <color theme="1"/>
        <rFont val="Calibri"/>
        <family val="2"/>
        <scheme val="minor"/>
      </rPr>
      <t>/2020/R/RIF)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</si>
  <si>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 (ex deliberazioni 443/2019/R/RIF, 238/2020/R/RIF e </t>
    </r>
    <r>
      <rPr>
        <b/>
        <sz val="12"/>
        <rFont val="Calibri"/>
        <family val="2"/>
        <scheme val="minor"/>
      </rPr>
      <t>493</t>
    </r>
    <r>
      <rPr>
        <b/>
        <sz val="12"/>
        <color theme="1"/>
        <rFont val="Calibri"/>
        <family val="2"/>
        <scheme val="minor"/>
      </rPr>
      <t>/2020/R/RIF)</t>
    </r>
  </si>
  <si>
    <r>
      <t xml:space="preserve">raccolta differenziata   </t>
    </r>
    <r>
      <rPr>
        <i/>
        <sz val="12"/>
        <color theme="1"/>
        <rFont val="Calibri"/>
        <family val="2"/>
        <scheme val="minor"/>
      </rPr>
      <t>%</t>
    </r>
  </si>
  <si>
    <r>
      <t>q</t>
    </r>
    <r>
      <rPr>
        <i/>
        <vertAlign val="subscript"/>
        <sz val="12"/>
        <color theme="1"/>
        <rFont val="Calibri"/>
        <family val="2"/>
        <scheme val="minor"/>
      </rPr>
      <t>a-2</t>
    </r>
    <r>
      <rPr>
        <i/>
        <sz val="12"/>
        <color theme="1"/>
        <rFont val="Calibri"/>
        <family val="2"/>
        <scheme val="minor"/>
      </rPr>
      <t xml:space="preserve">  </t>
    </r>
    <r>
      <rPr>
        <i/>
        <sz val="12"/>
        <rFont val="Calibri"/>
        <family val="2"/>
        <scheme val="minor"/>
      </rPr>
      <t xml:space="preserve"> kg</t>
    </r>
  </si>
  <si>
    <r>
      <t xml:space="preserve">costo unitario effettivo - Cueff   </t>
    </r>
    <r>
      <rPr>
        <i/>
        <sz val="12"/>
        <color theme="1"/>
        <rFont val="Calibri"/>
        <family val="2"/>
        <scheme val="minor"/>
      </rPr>
      <t>€cent/kg</t>
    </r>
  </si>
  <si>
    <r>
      <t xml:space="preserve">fabbisogno standard   </t>
    </r>
    <r>
      <rPr>
        <i/>
        <sz val="12"/>
        <color theme="1"/>
        <rFont val="Calibri"/>
        <family val="2"/>
        <scheme val="minor"/>
      </rPr>
      <t>€cent/kg</t>
    </r>
  </si>
  <si>
    <r>
      <t xml:space="preserve">costo medio settore   </t>
    </r>
    <r>
      <rPr>
        <i/>
        <sz val="12"/>
        <color theme="1"/>
        <rFont val="Calibri"/>
        <family val="2"/>
        <scheme val="minor"/>
      </rPr>
      <t>€cent/kg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</si>
  <si>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agli obiettivi di raccolta differenziata   </t>
    </r>
    <r>
      <rPr>
        <b/>
        <i/>
        <sz val="12"/>
        <color theme="1"/>
        <rFont val="Calibri"/>
        <family val="2"/>
        <scheme val="minor"/>
      </rPr>
      <t>ɣ</t>
    </r>
    <r>
      <rPr>
        <b/>
        <i/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</si>
  <si>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all' efficacia dell' attività di preparazione per il riutilizzo e riciclo   </t>
    </r>
    <r>
      <rPr>
        <b/>
        <i/>
        <sz val="12"/>
        <color theme="1"/>
        <rFont val="Calibri"/>
        <family val="2"/>
        <scheme val="minor"/>
      </rPr>
      <t>ɣ</t>
    </r>
    <r>
      <rPr>
        <b/>
        <i/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</si>
  <si>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alla soddisfazione degli utenti del servizio   </t>
    </r>
    <r>
      <rPr>
        <b/>
        <i/>
        <sz val="12"/>
        <color theme="1"/>
        <rFont val="Calibri"/>
        <family val="2"/>
        <scheme val="minor"/>
      </rPr>
      <t>ɣ</t>
    </r>
    <r>
      <rPr>
        <b/>
        <i/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</si>
  <si>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Totale   </t>
    </r>
    <r>
      <rPr>
        <b/>
        <i/>
        <sz val="12"/>
        <color theme="1"/>
        <rFont val="Calibri"/>
        <family val="2"/>
        <scheme val="minor"/>
      </rPr>
      <t>g</t>
    </r>
  </si>
  <si>
    <r>
      <t xml:space="preserve">Coefficiente di gradualità   </t>
    </r>
    <r>
      <rPr>
        <b/>
        <i/>
        <sz val="12"/>
        <color theme="1"/>
        <rFont val="Calibri"/>
        <family val="2"/>
        <scheme val="minor"/>
      </rPr>
      <t>(1+g)</t>
    </r>
  </si>
  <si>
    <r>
      <t>rpi</t>
    </r>
    <r>
      <rPr>
        <i/>
        <vertAlign val="subscript"/>
        <sz val="12"/>
        <color theme="1"/>
        <rFont val="Calibri"/>
        <family val="2"/>
        <scheme val="minor"/>
      </rPr>
      <t>a</t>
    </r>
  </si>
  <si>
    <r>
      <t xml:space="preserve">coefficiente di recupero di produttività   </t>
    </r>
    <r>
      <rPr>
        <b/>
        <i/>
        <sz val="12"/>
        <color theme="1"/>
        <rFont val="Calibri"/>
        <family val="2"/>
        <scheme val="minor"/>
      </rPr>
      <t>X</t>
    </r>
    <r>
      <rPr>
        <i/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</si>
  <si>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coeff. per il miglioramento previsto della qualità </t>
    </r>
    <r>
      <rPr>
        <b/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QL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</si>
  <si>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coeff. per la valorizzazione di modifiche del perimetro gestionale   </t>
    </r>
    <r>
      <rPr>
        <b/>
        <i/>
        <sz val="12"/>
        <color theme="1"/>
        <rFont val="Calibri"/>
        <family val="2"/>
        <scheme val="minor"/>
      </rPr>
      <t>PG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</si>
  <si>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coeff. per l'emergenza COVID-19   </t>
    </r>
    <r>
      <rPr>
        <b/>
        <i/>
        <sz val="12"/>
        <color theme="1"/>
        <rFont val="Calibri"/>
        <family val="2"/>
        <scheme val="minor"/>
      </rPr>
      <t>C19</t>
    </r>
    <r>
      <rPr>
        <b/>
        <i/>
        <vertAlign val="subscript"/>
        <sz val="12"/>
        <rFont val="Calibri"/>
        <family val="2"/>
        <scheme val="minor"/>
      </rPr>
      <t>2021</t>
    </r>
    <r>
      <rPr>
        <sz val="12"/>
        <rFont val="Calibri"/>
        <family val="2"/>
        <scheme val="minor"/>
      </rPr>
      <t xml:space="preserve"> </t>
    </r>
  </si>
  <si>
    <r>
      <t xml:space="preserve">Parametro per la determinazione del limite alla crescita delle tariffe   </t>
    </r>
    <r>
      <rPr>
        <b/>
        <i/>
        <sz val="12"/>
        <color theme="1"/>
        <rFont val="Calibri"/>
        <family val="2"/>
        <scheme val="minor"/>
      </rPr>
      <t>r</t>
    </r>
  </si>
  <si>
    <r>
      <t xml:space="preserve"> </t>
    </r>
    <r>
      <rPr>
        <i/>
        <sz val="12"/>
        <color theme="1"/>
        <rFont val="Calibri"/>
        <family val="2"/>
        <scheme val="minor"/>
      </rPr>
      <t>∑TV</t>
    </r>
    <r>
      <rPr>
        <i/>
        <vertAlign val="subscript"/>
        <sz val="12"/>
        <color theme="1"/>
        <rFont val="Calibri"/>
        <family val="2"/>
        <scheme val="minor"/>
      </rPr>
      <t>a-1</t>
    </r>
  </si>
  <si>
    <r>
      <t xml:space="preserve"> </t>
    </r>
    <r>
      <rPr>
        <i/>
        <sz val="12"/>
        <color theme="1"/>
        <rFont val="Calibri"/>
        <family val="2"/>
        <scheme val="minor"/>
      </rPr>
      <t>∑TF</t>
    </r>
    <r>
      <rPr>
        <i/>
        <vertAlign val="subscript"/>
        <sz val="12"/>
        <color theme="1"/>
        <rFont val="Calibri"/>
        <family val="2"/>
        <scheme val="minor"/>
      </rPr>
      <t>a-1</t>
    </r>
  </si>
  <si>
    <r>
      <t xml:space="preserve"> </t>
    </r>
    <r>
      <rPr>
        <i/>
        <sz val="12"/>
        <color theme="1"/>
        <rFont val="Calibri"/>
        <family val="2"/>
        <scheme val="minor"/>
      </rPr>
      <t>∑T</t>
    </r>
    <r>
      <rPr>
        <i/>
        <vertAlign val="subscript"/>
        <sz val="12"/>
        <color theme="1"/>
        <rFont val="Calibri"/>
        <family val="2"/>
        <scheme val="minor"/>
      </rPr>
      <t>a-1</t>
    </r>
  </si>
  <si>
    <r>
      <t xml:space="preserve"> </t>
    </r>
    <r>
      <rPr>
        <b/>
        <i/>
        <sz val="12"/>
        <color theme="1"/>
        <rFont val="Calibri"/>
        <family val="2"/>
        <scheme val="minor"/>
      </rPr>
      <t>∑T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i/>
        <sz val="12"/>
        <color theme="1"/>
        <rFont val="Calibri"/>
        <family val="2"/>
        <scheme val="minor"/>
      </rPr>
      <t>/ ∑T</t>
    </r>
    <r>
      <rPr>
        <b/>
        <i/>
        <vertAlign val="subscript"/>
        <sz val="12"/>
        <color theme="1"/>
        <rFont val="Calibri"/>
        <family val="2"/>
        <scheme val="minor"/>
      </rPr>
      <t>a-1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</si>
  <si>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max</t>
    </r>
    <r>
      <rPr>
        <b/>
        <sz val="12"/>
        <color theme="1"/>
        <rFont val="Calibri"/>
        <family val="2"/>
        <scheme val="minor"/>
      </rPr>
      <t xml:space="preserve">  (entrate tariffarie massime applicabili nel rispetto del limite di crescita)</t>
    </r>
  </si>
  <si>
    <r>
      <t>delta (∑T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-∑T</t>
    </r>
    <r>
      <rPr>
        <b/>
        <vertAlign val="subscript"/>
        <sz val="12"/>
        <color theme="1"/>
        <rFont val="Calibri"/>
        <family val="2"/>
        <scheme val="minor"/>
      </rPr>
      <t>max</t>
    </r>
    <r>
      <rPr>
        <b/>
        <sz val="12"/>
        <color theme="1"/>
        <rFont val="Calibri"/>
        <family val="2"/>
        <scheme val="minor"/>
      </rPr>
      <t>)</t>
    </r>
  </si>
  <si>
    <r>
      <t xml:space="preserve">Riclassifica </t>
    </r>
    <r>
      <rPr>
        <b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</si>
  <si>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t>Riclassifica</t>
    </r>
    <r>
      <rPr>
        <b/>
        <sz val="12"/>
        <color theme="1"/>
        <rFont val="Calibri"/>
        <family val="2"/>
        <scheme val="minor"/>
      </rPr>
      <t xml:space="preserve"> TF</t>
    </r>
    <r>
      <rPr>
        <b/>
        <vertAlign val="subscript"/>
        <sz val="12"/>
        <color theme="1"/>
        <rFont val="Calibri"/>
        <family val="2"/>
        <scheme val="minor"/>
      </rPr>
      <t>a</t>
    </r>
  </si>
  <si>
    <r>
      <t>Riepilogo delle componenti a conguaglio il cui recupero in tariffa è rinviato alle annualità successive al 2021</t>
    </r>
    <r>
      <rPr>
        <b/>
        <i/>
        <sz val="12"/>
        <color rgb="FFC00000"/>
        <rFont val="Calibri"/>
        <family val="2"/>
        <scheme val="minor"/>
      </rPr>
      <t xml:space="preserve"> (NON COMPILABILE)</t>
    </r>
  </si>
  <si>
    <r>
      <t xml:space="preserve">Quota residua recupero delle mancate entrate tariffarie 2020 per applicazione dei fattori di correzione ex del. 158/2020/R/RIF </t>
    </r>
    <r>
      <rPr>
        <sz val="12"/>
        <rFont val="Calibri"/>
        <family val="2"/>
        <scheme val="minor"/>
      </rPr>
      <t>(relativa a RCND</t>
    </r>
    <r>
      <rPr>
        <vertAlign val="subscript"/>
        <sz val="12"/>
        <rFont val="Calibri"/>
        <family val="2"/>
        <scheme val="minor"/>
      </rPr>
      <t>TV</t>
    </r>
    <r>
      <rPr>
        <sz val="12"/>
        <rFont val="Calibri"/>
        <family val="2"/>
        <scheme val="minor"/>
      </rPr>
      <t>)</t>
    </r>
  </si>
  <si>
    <r>
      <t xml:space="preserve">Quota residua conguaglio per recupero derivante da tariffe in deroga ex art. 107 c. 5 d.l. 18/20 </t>
    </r>
    <r>
      <rPr>
        <sz val="12"/>
        <rFont val="Calibri"/>
        <family val="2"/>
        <scheme val="minor"/>
      </rPr>
      <t>(relativa alle componenti RCU)</t>
    </r>
  </si>
  <si>
    <r>
      <t xml:space="preserve"> </t>
    </r>
    <r>
      <rPr>
        <b/>
        <i/>
        <sz val="12"/>
        <color theme="1"/>
        <rFont val="Calibri"/>
        <family val="2"/>
        <scheme val="minor"/>
      </rPr>
      <t>∑T</t>
    </r>
    <r>
      <rPr>
        <b/>
        <i/>
        <vertAlign val="subscript"/>
        <sz val="12"/>
        <color theme="1"/>
        <rFont val="Calibri"/>
        <family val="2"/>
        <scheme val="minor"/>
      </rPr>
      <t>a</t>
    </r>
  </si>
  <si>
    <t>agg. 04-03-2021</t>
  </si>
  <si>
    <t>ALLUVIONI PIOVERA</t>
  </si>
  <si>
    <t>BASALUZZO</t>
  </si>
  <si>
    <t>CARBONARA SCRIVIA</t>
  </si>
  <si>
    <t>CAREZZANO</t>
  </si>
  <si>
    <t>CARROSIO</t>
  </si>
  <si>
    <t>CASSANO SPINOLA</t>
  </si>
  <si>
    <t>CASTELLAZZO BORMIDA</t>
  </si>
  <si>
    <t>FRACONALTO</t>
  </si>
  <si>
    <t>FRANCAVILLA BISIO</t>
  </si>
  <si>
    <t>FRESONARA</t>
  </si>
  <si>
    <t>ISOLA SANT'ANTONIO</t>
  </si>
  <si>
    <t>MOLINO DEI TORTI</t>
  </si>
  <si>
    <t>PARODI LIGURE</t>
  </si>
  <si>
    <t>PASTURANA</t>
  </si>
  <si>
    <t>PONTECURONE</t>
  </si>
  <si>
    <t>POZZOLO FORMIGARO</t>
  </si>
  <si>
    <t>PREDOSA</t>
  </si>
  <si>
    <t>SALE</t>
  </si>
  <si>
    <t>SARDIGLIANO</t>
  </si>
  <si>
    <t>SERRAVALLE SCRIVIA</t>
  </si>
  <si>
    <t>TASSAROLO</t>
  </si>
  <si>
    <t>VIGUZZOLO</t>
  </si>
  <si>
    <t>VILLAROMAGNANO</t>
  </si>
  <si>
    <t>VOLTAGGIO</t>
  </si>
  <si>
    <t>Comune di ALLUVIONI PIOVERA</t>
  </si>
  <si>
    <t>Comune di BASALUZZO</t>
  </si>
  <si>
    <t>Comune di CAPRIATA D'ORBA</t>
  </si>
  <si>
    <t>Comune di CAREZZANO</t>
  </si>
  <si>
    <t>Comune di CARROSIO</t>
  </si>
  <si>
    <t>Comune di CASSANO SPINOLA</t>
  </si>
  <si>
    <t>Comune di CASTELLAZZO BORMIDA</t>
  </si>
  <si>
    <t>Comune di FRACONALTO</t>
  </si>
  <si>
    <t>Comune di FRANCAVILLA BISIO</t>
  </si>
  <si>
    <t>Comune di FRESONARA</t>
  </si>
  <si>
    <t>Comune di ISOLA SANT'ANTONIO</t>
  </si>
  <si>
    <t>Comune di MOLINO DEI TORTI</t>
  </si>
  <si>
    <t>Comune di PARODI LIGURE</t>
  </si>
  <si>
    <t>Comune di PASTURANA</t>
  </si>
  <si>
    <t>Comune di PONTECURONE</t>
  </si>
  <si>
    <t>Comune di POZZOLO FORMIGARO</t>
  </si>
  <si>
    <t>Comune di PREDOSA</t>
  </si>
  <si>
    <t>Comune di SALE</t>
  </si>
  <si>
    <t>Comune di SARDIGLIANO</t>
  </si>
  <si>
    <t>Comune di SERRAVALLE SCRIVIA</t>
  </si>
  <si>
    <t>Comune di TASSAROLO</t>
  </si>
  <si>
    <t>Comune di VIGUZZOLO</t>
  </si>
  <si>
    <t>Comune di VILLAROMAGNANO</t>
  </si>
  <si>
    <t>Comune di VOLTAGGIO</t>
  </si>
  <si>
    <t>Gestione Ambiente 24 Comuni TARIFFA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</si>
</sst>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_-* #,##0.00\ _€_-;\-* #,##0.00\ _€_-;_-* &quot;-&quot;??\ _€_-;_-@_-"/>
    <numFmt numFmtId="167" formatCode="#,##0.00_ ;[Red]\-#,##0.00\ "/>
  </numFmts>
  <fonts count="35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theme="1"/>
      <name val="Tahoma"/>
      <family val="2"/>
    </font>
    <font>
      <sz val="12"/>
      <color theme="0" tint="-0.14999847407452621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i/>
      <vertAlign val="superscript"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b/>
      <vertAlign val="subscript"/>
      <sz val="12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vertAlign val="subscript"/>
      <sz val="12"/>
      <name val="Calibri"/>
      <family val="2"/>
      <scheme val="minor"/>
    </font>
    <font>
      <b/>
      <i/>
      <vertAlign val="subscript"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vertAlign val="subscript"/>
      <sz val="12"/>
      <name val="Calibri"/>
      <family val="2"/>
      <scheme val="minor"/>
    </font>
    <font>
      <b/>
      <i/>
      <vertAlign val="superscript"/>
      <sz val="12"/>
      <name val="Calibri"/>
      <family val="2"/>
      <scheme val="minor"/>
    </font>
    <font>
      <i/>
      <vertAlign val="subscript"/>
      <sz val="12"/>
      <color theme="1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0"/>
      </patternFill>
    </fill>
    <fill>
      <patternFill patternType="solid">
        <fgColor rgb="FF02A78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0" borderId="1" applyNumberFormat="0" applyFill="0" applyAlignment="0" applyProtection="0"/>
    <xf numFmtId="166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297">
    <xf numFmtId="0" fontId="0" fillId="0" borderId="0" xfId="0"/>
    <xf numFmtId="0" fontId="3" fillId="2" borderId="0" xfId="0" applyFont="1" applyFill="1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6" fillId="5" borderId="25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14" fillId="6" borderId="5" xfId="0" applyFont="1" applyFill="1" applyBorder="1"/>
    <xf numFmtId="0" fontId="3" fillId="5" borderId="7" xfId="0" applyFont="1" applyFill="1" applyBorder="1" applyAlignment="1">
      <alignment vertical="center"/>
    </xf>
    <xf numFmtId="0" fontId="3" fillId="7" borderId="7" xfId="0" applyFont="1" applyFill="1" applyBorder="1" applyAlignment="1">
      <alignment vertical="center"/>
    </xf>
    <xf numFmtId="0" fontId="6" fillId="8" borderId="27" xfId="0" applyFont="1" applyFill="1" applyBorder="1" applyAlignment="1">
      <alignment vertical="center"/>
    </xf>
    <xf numFmtId="0" fontId="3" fillId="2" borderId="44" xfId="0" applyFont="1" applyFill="1" applyBorder="1"/>
    <xf numFmtId="0" fontId="6" fillId="8" borderId="33" xfId="0" applyFont="1" applyFill="1" applyBorder="1" applyAlignment="1">
      <alignment vertical="center"/>
    </xf>
    <xf numFmtId="0" fontId="3" fillId="2" borderId="45" xfId="0" applyFont="1" applyFill="1" applyBorder="1"/>
    <xf numFmtId="0" fontId="17" fillId="0" borderId="3" xfId="3" applyFont="1" applyBorder="1" applyAlignment="1">
      <alignment horizontal="center" vertical="center"/>
    </xf>
    <xf numFmtId="0" fontId="17" fillId="0" borderId="31" xfId="3" applyFont="1" applyBorder="1" applyAlignment="1">
      <alignment horizontal="center" vertical="center"/>
    </xf>
    <xf numFmtId="165" fontId="11" fillId="10" borderId="10" xfId="1" applyNumberFormat="1" applyFont="1" applyFill="1" applyBorder="1" applyAlignment="1" applyProtection="1">
      <alignment horizontal="right" vertical="center"/>
      <protection locked="0"/>
    </xf>
    <xf numFmtId="10" fontId="11" fillId="10" borderId="29" xfId="2" applyNumberFormat="1" applyFont="1" applyFill="1" applyBorder="1" applyAlignment="1" applyProtection="1">
      <alignment horizontal="right" vertical="center"/>
      <protection locked="0"/>
    </xf>
    <xf numFmtId="10" fontId="11" fillId="10" borderId="32" xfId="2" applyNumberFormat="1" applyFont="1" applyFill="1" applyBorder="1" applyAlignment="1" applyProtection="1">
      <alignment horizontal="right" vertical="center"/>
      <protection locked="0"/>
    </xf>
    <xf numFmtId="0" fontId="3" fillId="2" borderId="25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13" xfId="0" applyFont="1" applyFill="1" applyBorder="1"/>
    <xf numFmtId="0" fontId="3" fillId="7" borderId="2" xfId="0" applyFont="1" applyFill="1" applyBorder="1" applyAlignment="1">
      <alignment vertical="center"/>
    </xf>
    <xf numFmtId="0" fontId="3" fillId="7" borderId="25" xfId="0" applyFont="1" applyFill="1" applyBorder="1" applyAlignment="1">
      <alignment vertical="center"/>
    </xf>
    <xf numFmtId="165" fontId="11" fillId="10" borderId="10" xfId="2" applyNumberFormat="1" applyFont="1" applyFill="1" applyBorder="1" applyAlignment="1" applyProtection="1">
      <alignment horizontal="right" vertical="center"/>
      <protection locked="0"/>
    </xf>
    <xf numFmtId="0" fontId="10" fillId="2" borderId="0" xfId="0" applyFont="1" applyFill="1"/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/>
    </xf>
    <xf numFmtId="0" fontId="10" fillId="0" borderId="0" xfId="0" applyFont="1"/>
    <xf numFmtId="0" fontId="10" fillId="2" borderId="48" xfId="0" applyFont="1" applyFill="1" applyBorder="1"/>
    <xf numFmtId="0" fontId="10" fillId="2" borderId="48" xfId="0" applyFont="1" applyFill="1" applyBorder="1" applyAlignment="1">
      <alignment horizontal="left" vertical="center"/>
    </xf>
    <xf numFmtId="0" fontId="9" fillId="0" borderId="48" xfId="0" applyFont="1" applyBorder="1" applyAlignment="1">
      <alignment vertical="center"/>
    </xf>
    <xf numFmtId="0" fontId="9" fillId="0" borderId="48" xfId="0" applyFont="1" applyBorder="1" applyAlignment="1">
      <alignment vertical="center" wrapText="1"/>
    </xf>
    <xf numFmtId="0" fontId="20" fillId="2" borderId="4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1" fillId="2" borderId="0" xfId="4" applyFont="1" applyFill="1" applyBorder="1" applyProtection="1"/>
    <xf numFmtId="0" fontId="3" fillId="2" borderId="23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/>
    </xf>
    <xf numFmtId="164" fontId="10" fillId="2" borderId="11" xfId="5" applyNumberFormat="1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164" fontId="10" fillId="3" borderId="11" xfId="5" applyNumberFormat="1" applyFont="1" applyFill="1" applyBorder="1" applyAlignment="1" applyProtection="1">
      <alignment horizontal="center" vertical="center"/>
    </xf>
    <xf numFmtId="164" fontId="6" fillId="5" borderId="11" xfId="5" applyNumberFormat="1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14" fillId="2" borderId="23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64" fontId="10" fillId="2" borderId="0" xfId="5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3" fillId="2" borderId="18" xfId="0" quotePrefix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/>
    </xf>
    <xf numFmtId="0" fontId="6" fillId="5" borderId="10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5" fillId="0" borderId="13" xfId="0" applyFont="1" applyBorder="1"/>
    <xf numFmtId="0" fontId="15" fillId="2" borderId="0" xfId="0" applyFont="1" applyFill="1" applyAlignment="1">
      <alignment horizontal="center"/>
    </xf>
    <xf numFmtId="0" fontId="6" fillId="2" borderId="42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0" fillId="0" borderId="51" xfId="0" applyFont="1" applyBorder="1" applyAlignment="1">
      <alignment vertical="center"/>
    </xf>
    <xf numFmtId="0" fontId="9" fillId="2" borderId="55" xfId="0" applyFont="1" applyFill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6" fillId="5" borderId="55" xfId="0" applyFont="1" applyFill="1" applyBorder="1" applyAlignment="1">
      <alignment vertical="center" wrapText="1"/>
    </xf>
    <xf numFmtId="0" fontId="6" fillId="5" borderId="55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164" fontId="20" fillId="2" borderId="0" xfId="0" applyNumberFormat="1" applyFont="1" applyFill="1" applyAlignment="1">
      <alignment horizontal="center" vertical="center"/>
    </xf>
    <xf numFmtId="0" fontId="10" fillId="0" borderId="46" xfId="0" applyFont="1" applyBorder="1" applyAlignment="1">
      <alignment vertical="center"/>
    </xf>
    <xf numFmtId="0" fontId="6" fillId="2" borderId="46" xfId="0" applyFont="1" applyFill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9" fillId="2" borderId="42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15" fillId="2" borderId="13" xfId="0" applyFont="1" applyFill="1" applyBorder="1"/>
    <xf numFmtId="0" fontId="6" fillId="6" borderId="41" xfId="0" applyFont="1" applyFill="1" applyBorder="1" applyAlignment="1">
      <alignment horizontal="center"/>
    </xf>
    <xf numFmtId="0" fontId="13" fillId="5" borderId="7" xfId="0" applyFont="1" applyFill="1" applyBorder="1" applyAlignment="1">
      <alignment vertical="center"/>
    </xf>
    <xf numFmtId="0" fontId="6" fillId="5" borderId="23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 vertical="center"/>
    </xf>
    <xf numFmtId="0" fontId="3" fillId="2" borderId="50" xfId="0" applyFont="1" applyFill="1" applyBorder="1"/>
    <xf numFmtId="9" fontId="3" fillId="2" borderId="0" xfId="7" applyFont="1" applyFill="1" applyProtection="1"/>
    <xf numFmtId="0" fontId="6" fillId="8" borderId="34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3" fillId="2" borderId="14" xfId="0" applyFont="1" applyFill="1" applyBorder="1"/>
    <xf numFmtId="0" fontId="6" fillId="9" borderId="38" xfId="0" applyFont="1" applyFill="1" applyBorder="1" applyAlignment="1">
      <alignment vertical="center"/>
    </xf>
    <xf numFmtId="0" fontId="6" fillId="9" borderId="3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5" fillId="0" borderId="43" xfId="0" applyFont="1" applyBorder="1"/>
    <xf numFmtId="0" fontId="10" fillId="7" borderId="49" xfId="0" applyFont="1" applyFill="1" applyBorder="1" applyAlignment="1">
      <alignment vertical="center"/>
    </xf>
    <xf numFmtId="0" fontId="6" fillId="7" borderId="46" xfId="0" applyFont="1" applyFill="1" applyBorder="1" applyAlignment="1">
      <alignment horizontal="center"/>
    </xf>
    <xf numFmtId="0" fontId="3" fillId="7" borderId="60" xfId="0" applyFont="1" applyFill="1" applyBorder="1" applyAlignment="1">
      <alignment horizontal="left" vertical="center"/>
    </xf>
    <xf numFmtId="0" fontId="6" fillId="7" borderId="61" xfId="0" applyFont="1" applyFill="1" applyBorder="1" applyAlignment="1">
      <alignment horizontal="center"/>
    </xf>
    <xf numFmtId="0" fontId="3" fillId="2" borderId="62" xfId="0" applyFont="1" applyFill="1" applyBorder="1"/>
    <xf numFmtId="0" fontId="3" fillId="7" borderId="65" xfId="0" applyFont="1" applyFill="1" applyBorder="1" applyAlignment="1">
      <alignment horizontal="left" vertical="center" indent="4"/>
    </xf>
    <xf numFmtId="0" fontId="6" fillId="7" borderId="55" xfId="0" applyFont="1" applyFill="1" applyBorder="1" applyAlignment="1">
      <alignment horizontal="center"/>
    </xf>
    <xf numFmtId="0" fontId="3" fillId="7" borderId="68" xfId="0" applyFont="1" applyFill="1" applyBorder="1" applyAlignment="1">
      <alignment horizontal="left" vertical="center" indent="4"/>
    </xf>
    <xf numFmtId="0" fontId="6" fillId="7" borderId="69" xfId="0" applyFont="1" applyFill="1" applyBorder="1" applyAlignment="1">
      <alignment horizontal="center"/>
    </xf>
    <xf numFmtId="0" fontId="3" fillId="7" borderId="49" xfId="0" applyFont="1" applyFill="1" applyBorder="1" applyAlignment="1">
      <alignment horizontal="left" vertical="center"/>
    </xf>
    <xf numFmtId="0" fontId="3" fillId="7" borderId="72" xfId="0" applyFont="1" applyFill="1" applyBorder="1" applyAlignment="1">
      <alignment horizontal="left" vertical="center"/>
    </xf>
    <xf numFmtId="0" fontId="6" fillId="7" borderId="5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" fillId="7" borderId="5" xfId="0" applyFont="1" applyFill="1" applyBorder="1" applyAlignment="1">
      <alignment horizontal="left" vertical="center" indent="4"/>
    </xf>
    <xf numFmtId="0" fontId="6" fillId="7" borderId="3" xfId="0" applyFont="1" applyFill="1" applyBorder="1" applyAlignment="1">
      <alignment horizontal="center"/>
    </xf>
    <xf numFmtId="0" fontId="3" fillId="7" borderId="76" xfId="0" applyFont="1" applyFill="1" applyBorder="1" applyAlignment="1">
      <alignment horizontal="left" vertical="center" indent="4"/>
    </xf>
    <xf numFmtId="0" fontId="11" fillId="2" borderId="0" xfId="0" applyFont="1" applyFill="1" applyAlignment="1">
      <alignment horizontal="right"/>
    </xf>
    <xf numFmtId="164" fontId="11" fillId="2" borderId="15" xfId="5" applyNumberFormat="1" applyFont="1" applyFill="1" applyBorder="1" applyAlignment="1" applyProtection="1">
      <alignment horizontal="right"/>
    </xf>
    <xf numFmtId="164" fontId="11" fillId="2" borderId="0" xfId="5" applyNumberFormat="1" applyFont="1" applyFill="1" applyBorder="1" applyAlignment="1" applyProtection="1">
      <alignment horizontal="right" vertical="center"/>
      <protection locked="0"/>
    </xf>
    <xf numFmtId="0" fontId="16" fillId="2" borderId="0" xfId="0" applyFont="1" applyFill="1" applyAlignment="1">
      <alignment horizontal="right"/>
    </xf>
    <xf numFmtId="0" fontId="16" fillId="2" borderId="43" xfId="0" applyFont="1" applyFill="1" applyBorder="1" applyAlignment="1">
      <alignment horizontal="right"/>
    </xf>
    <xf numFmtId="0" fontId="11" fillId="2" borderId="0" xfId="0" applyFont="1" applyFill="1" applyAlignment="1">
      <alignment horizontal="right" vertical="center"/>
    </xf>
    <xf numFmtId="0" fontId="11" fillId="2" borderId="15" xfId="0" applyFont="1" applyFill="1" applyBorder="1" applyAlignment="1">
      <alignment horizontal="right"/>
    </xf>
    <xf numFmtId="0" fontId="16" fillId="2" borderId="15" xfId="0" applyFont="1" applyFill="1" applyBorder="1" applyAlignment="1">
      <alignment horizontal="right"/>
    </xf>
    <xf numFmtId="0" fontId="2" fillId="4" borderId="28" xfId="0" applyFont="1" applyFill="1" applyBorder="1" applyAlignment="1">
      <alignment horizontal="right" vertical="center"/>
    </xf>
    <xf numFmtId="165" fontId="2" fillId="10" borderId="30" xfId="1" applyNumberFormat="1" applyFont="1" applyFill="1" applyBorder="1" applyAlignment="1" applyProtection="1">
      <alignment horizontal="right" vertical="center"/>
      <protection locked="0"/>
    </xf>
    <xf numFmtId="0" fontId="2" fillId="4" borderId="34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55" xfId="0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right" vertical="center"/>
    </xf>
    <xf numFmtId="0" fontId="11" fillId="2" borderId="14" xfId="0" applyFont="1" applyFill="1" applyBorder="1" applyAlignment="1">
      <alignment horizontal="right"/>
    </xf>
    <xf numFmtId="0" fontId="11" fillId="2" borderId="43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18" fillId="2" borderId="0" xfId="0" applyFont="1" applyFill="1"/>
    <xf numFmtId="0" fontId="18" fillId="2" borderId="48" xfId="0" applyFont="1" applyFill="1" applyBorder="1"/>
    <xf numFmtId="0" fontId="18" fillId="2" borderId="0" xfId="0" applyFont="1" applyFill="1" applyAlignment="1">
      <alignment wrapText="1"/>
    </xf>
    <xf numFmtId="165" fontId="11" fillId="3" borderId="10" xfId="5" applyNumberFormat="1" applyFont="1" applyFill="1" applyBorder="1" applyAlignment="1" applyProtection="1">
      <alignment horizontal="right" vertical="center"/>
    </xf>
    <xf numFmtId="165" fontId="11" fillId="2" borderId="10" xfId="5" applyNumberFormat="1" applyFont="1" applyFill="1" applyBorder="1" applyAlignment="1" applyProtection="1">
      <alignment horizontal="right" vertical="center"/>
      <protection locked="0"/>
    </xf>
    <xf numFmtId="165" fontId="2" fillId="4" borderId="30" xfId="0" applyNumberFormat="1" applyFont="1" applyFill="1" applyBorder="1" applyAlignment="1">
      <alignment horizontal="right" vertical="center"/>
    </xf>
    <xf numFmtId="165" fontId="12" fillId="5" borderId="12" xfId="5" applyNumberFormat="1" applyFont="1" applyFill="1" applyBorder="1" applyAlignment="1" applyProtection="1">
      <alignment horizontal="right" vertical="center"/>
    </xf>
    <xf numFmtId="165" fontId="11" fillId="3" borderId="16" xfId="5" applyNumberFormat="1" applyFont="1" applyFill="1" applyBorder="1" applyAlignment="1" applyProtection="1">
      <alignment horizontal="right" vertical="center"/>
    </xf>
    <xf numFmtId="165" fontId="11" fillId="10" borderId="10" xfId="5" applyNumberFormat="1" applyFont="1" applyFill="1" applyBorder="1" applyAlignment="1" applyProtection="1">
      <alignment horizontal="right" vertical="center"/>
      <protection locked="0"/>
    </xf>
    <xf numFmtId="165" fontId="11" fillId="10" borderId="17" xfId="5" applyNumberFormat="1" applyFont="1" applyFill="1" applyBorder="1" applyAlignment="1" applyProtection="1">
      <alignment horizontal="right" vertical="center"/>
      <protection locked="0"/>
    </xf>
    <xf numFmtId="165" fontId="11" fillId="3" borderId="17" xfId="5" applyNumberFormat="1" applyFont="1" applyFill="1" applyBorder="1" applyAlignment="1" applyProtection="1">
      <alignment horizontal="right" vertical="center"/>
    </xf>
    <xf numFmtId="165" fontId="11" fillId="10" borderId="18" xfId="5" applyNumberFormat="1" applyFont="1" applyFill="1" applyBorder="1" applyAlignment="1" applyProtection="1">
      <alignment horizontal="right" vertical="center"/>
      <protection locked="0"/>
    </xf>
    <xf numFmtId="165" fontId="11" fillId="10" borderId="19" xfId="5" applyNumberFormat="1" applyFont="1" applyFill="1" applyBorder="1" applyAlignment="1" applyProtection="1">
      <alignment horizontal="right" vertical="center"/>
      <protection locked="0"/>
    </xf>
    <xf numFmtId="165" fontId="11" fillId="3" borderId="19" xfId="5" applyNumberFormat="1" applyFont="1" applyFill="1" applyBorder="1" applyAlignment="1" applyProtection="1">
      <alignment horizontal="right" vertical="center"/>
    </xf>
    <xf numFmtId="165" fontId="11" fillId="0" borderId="21" xfId="5" applyNumberFormat="1" applyFont="1" applyFill="1" applyBorder="1" applyAlignment="1" applyProtection="1">
      <alignment horizontal="right" vertical="center"/>
    </xf>
    <xf numFmtId="165" fontId="11" fillId="0" borderId="53" xfId="5" applyNumberFormat="1" applyFont="1" applyFill="1" applyBorder="1" applyAlignment="1" applyProtection="1">
      <alignment horizontal="right" vertical="center"/>
    </xf>
    <xf numFmtId="165" fontId="11" fillId="3" borderId="22" xfId="5" applyNumberFormat="1" applyFont="1" applyFill="1" applyBorder="1" applyAlignment="1" applyProtection="1">
      <alignment horizontal="right" vertical="center"/>
    </xf>
    <xf numFmtId="165" fontId="11" fillId="0" borderId="18" xfId="5" applyNumberFormat="1" applyFont="1" applyFill="1" applyBorder="1" applyAlignment="1" applyProtection="1">
      <alignment horizontal="right" vertical="center"/>
    </xf>
    <xf numFmtId="165" fontId="11" fillId="0" borderId="19" xfId="5" applyNumberFormat="1" applyFont="1" applyFill="1" applyBorder="1" applyAlignment="1" applyProtection="1">
      <alignment horizontal="right" vertical="center"/>
    </xf>
    <xf numFmtId="165" fontId="11" fillId="3" borderId="8" xfId="5" applyNumberFormat="1" applyFont="1" applyFill="1" applyBorder="1" applyAlignment="1" applyProtection="1">
      <alignment horizontal="right" vertical="center"/>
    </xf>
    <xf numFmtId="165" fontId="11" fillId="2" borderId="8" xfId="5" applyNumberFormat="1" applyFont="1" applyFill="1" applyBorder="1" applyAlignment="1" applyProtection="1">
      <alignment horizontal="right" vertical="center"/>
      <protection locked="0"/>
    </xf>
    <xf numFmtId="165" fontId="11" fillId="2" borderId="24" xfId="5" applyNumberFormat="1" applyFont="1" applyFill="1" applyBorder="1" applyAlignment="1" applyProtection="1">
      <alignment horizontal="right" vertical="center"/>
      <protection locked="0"/>
    </xf>
    <xf numFmtId="165" fontId="11" fillId="3" borderId="24" xfId="5" applyNumberFormat="1" applyFont="1" applyFill="1" applyBorder="1" applyAlignment="1" applyProtection="1">
      <alignment horizontal="right" vertical="center"/>
    </xf>
    <xf numFmtId="165" fontId="2" fillId="4" borderId="8" xfId="0" applyNumberFormat="1" applyFont="1" applyFill="1" applyBorder="1" applyAlignment="1">
      <alignment horizontal="right" vertical="center"/>
    </xf>
    <xf numFmtId="165" fontId="12" fillId="5" borderId="8" xfId="5" applyNumberFormat="1" applyFont="1" applyFill="1" applyBorder="1" applyAlignment="1" applyProtection="1">
      <alignment horizontal="right" vertical="center"/>
    </xf>
    <xf numFmtId="165" fontId="12" fillId="5" borderId="24" xfId="5" applyNumberFormat="1" applyFont="1" applyFill="1" applyBorder="1" applyAlignment="1" applyProtection="1">
      <alignment horizontal="right" vertical="center"/>
    </xf>
    <xf numFmtId="165" fontId="11" fillId="10" borderId="12" xfId="5" applyNumberFormat="1" applyFont="1" applyFill="1" applyBorder="1" applyAlignment="1" applyProtection="1">
      <alignment horizontal="right" vertical="center"/>
      <protection locked="0"/>
    </xf>
    <xf numFmtId="165" fontId="11" fillId="10" borderId="26" xfId="5" applyNumberFormat="1" applyFont="1" applyFill="1" applyBorder="1" applyAlignment="1" applyProtection="1">
      <alignment horizontal="right" vertical="center"/>
      <protection locked="0"/>
    </xf>
    <xf numFmtId="165" fontId="11" fillId="3" borderId="26" xfId="5" applyNumberFormat="1" applyFont="1" applyFill="1" applyBorder="1" applyAlignment="1" applyProtection="1">
      <alignment horizontal="right" vertical="center"/>
    </xf>
    <xf numFmtId="165" fontId="11" fillId="10" borderId="3" xfId="5" applyNumberFormat="1" applyFont="1" applyFill="1" applyBorder="1" applyAlignment="1" applyProtection="1">
      <alignment horizontal="right" vertical="center"/>
      <protection locked="0"/>
    </xf>
    <xf numFmtId="165" fontId="11" fillId="2" borderId="12" xfId="5" applyNumberFormat="1" applyFont="1" applyFill="1" applyBorder="1" applyAlignment="1" applyProtection="1">
      <alignment horizontal="right" vertical="center"/>
      <protection locked="0"/>
    </xf>
    <xf numFmtId="165" fontId="11" fillId="10" borderId="20" xfId="5" applyNumberFormat="1" applyFont="1" applyFill="1" applyBorder="1" applyAlignment="1" applyProtection="1">
      <alignment horizontal="right" vertical="center"/>
      <protection locked="0"/>
    </xf>
    <xf numFmtId="165" fontId="11" fillId="2" borderId="20" xfId="5" applyNumberFormat="1" applyFont="1" applyFill="1" applyBorder="1" applyAlignment="1" applyProtection="1">
      <alignment horizontal="right" vertical="center"/>
      <protection locked="0"/>
    </xf>
    <xf numFmtId="165" fontId="11" fillId="10" borderId="7" xfId="5" applyNumberFormat="1" applyFont="1" applyFill="1" applyBorder="1" applyAlignment="1" applyProtection="1">
      <alignment horizontal="right" vertical="center"/>
      <protection locked="0"/>
    </xf>
    <xf numFmtId="165" fontId="11" fillId="3" borderId="55" xfId="5" applyNumberFormat="1" applyFont="1" applyFill="1" applyBorder="1" applyAlignment="1" applyProtection="1">
      <alignment horizontal="right" vertical="center"/>
    </xf>
    <xf numFmtId="165" fontId="12" fillId="5" borderId="55" xfId="5" applyNumberFormat="1" applyFont="1" applyFill="1" applyBorder="1" applyAlignment="1" applyProtection="1">
      <alignment horizontal="right" vertical="center" wrapText="1"/>
    </xf>
    <xf numFmtId="165" fontId="11" fillId="10" borderId="46" xfId="5" applyNumberFormat="1" applyFont="1" applyFill="1" applyBorder="1" applyAlignment="1" applyProtection="1">
      <alignment horizontal="right" vertical="center"/>
      <protection locked="0"/>
    </xf>
    <xf numFmtId="165" fontId="11" fillId="3" borderId="47" xfId="5" applyNumberFormat="1" applyFont="1" applyFill="1" applyBorder="1" applyAlignment="1" applyProtection="1">
      <alignment horizontal="right" vertical="center"/>
    </xf>
    <xf numFmtId="165" fontId="11" fillId="10" borderId="2" xfId="5" applyNumberFormat="1" applyFont="1" applyFill="1" applyBorder="1" applyAlignment="1" applyProtection="1">
      <alignment horizontal="right" vertical="center"/>
      <protection locked="0"/>
    </xf>
    <xf numFmtId="165" fontId="2" fillId="0" borderId="42" xfId="0" applyNumberFormat="1" applyFont="1" applyBorder="1" applyAlignment="1" applyProtection="1">
      <alignment horizontal="right" vertical="center"/>
      <protection locked="0"/>
    </xf>
    <xf numFmtId="165" fontId="11" fillId="3" borderId="3" xfId="5" applyNumberFormat="1" applyFont="1" applyFill="1" applyBorder="1" applyAlignment="1" applyProtection="1">
      <alignment horizontal="right" vertical="center"/>
    </xf>
    <xf numFmtId="165" fontId="12" fillId="5" borderId="20" xfId="5" applyNumberFormat="1" applyFont="1" applyFill="1" applyBorder="1" applyAlignment="1" applyProtection="1">
      <alignment horizontal="right" vertical="center"/>
    </xf>
    <xf numFmtId="165" fontId="12" fillId="5" borderId="22" xfId="5" applyNumberFormat="1" applyFont="1" applyFill="1" applyBorder="1" applyAlignment="1" applyProtection="1">
      <alignment horizontal="right" vertical="center"/>
    </xf>
    <xf numFmtId="165" fontId="2" fillId="4" borderId="27" xfId="0" applyNumberFormat="1" applyFont="1" applyFill="1" applyBorder="1" applyAlignment="1">
      <alignment horizontal="right" vertical="center"/>
    </xf>
    <xf numFmtId="165" fontId="2" fillId="4" borderId="28" xfId="0" applyNumberFormat="1" applyFont="1" applyFill="1" applyBorder="1" applyAlignment="1">
      <alignment horizontal="right" vertical="center"/>
    </xf>
    <xf numFmtId="165" fontId="2" fillId="2" borderId="31" xfId="5" applyNumberFormat="1" applyFont="1" applyFill="1" applyBorder="1" applyAlignment="1" applyProtection="1">
      <alignment horizontal="right" vertical="center"/>
      <protection locked="0"/>
    </xf>
    <xf numFmtId="165" fontId="2" fillId="2" borderId="32" xfId="0" applyNumberFormat="1" applyFont="1" applyFill="1" applyBorder="1" applyAlignment="1" applyProtection="1">
      <alignment horizontal="right" vertical="center"/>
      <protection locked="0"/>
    </xf>
    <xf numFmtId="165" fontId="2" fillId="4" borderId="11" xfId="0" applyNumberFormat="1" applyFont="1" applyFill="1" applyBorder="1" applyAlignment="1">
      <alignment horizontal="right" vertical="center"/>
    </xf>
    <xf numFmtId="165" fontId="2" fillId="4" borderId="33" xfId="0" applyNumberFormat="1" applyFont="1" applyFill="1" applyBorder="1" applyAlignment="1">
      <alignment horizontal="right" vertical="center"/>
    </xf>
    <xf numFmtId="165" fontId="2" fillId="4" borderId="34" xfId="0" applyNumberFormat="1" applyFont="1" applyFill="1" applyBorder="1" applyAlignment="1">
      <alignment horizontal="right" vertical="center"/>
    </xf>
    <xf numFmtId="165" fontId="2" fillId="2" borderId="32" xfId="5" applyNumberFormat="1" applyFont="1" applyFill="1" applyBorder="1" applyAlignment="1" applyProtection="1">
      <alignment horizontal="right" vertical="center"/>
      <protection locked="0"/>
    </xf>
    <xf numFmtId="165" fontId="12" fillId="5" borderId="35" xfId="5" applyNumberFormat="1" applyFont="1" applyFill="1" applyBorder="1" applyAlignment="1" applyProtection="1">
      <alignment horizontal="right" vertical="center"/>
    </xf>
    <xf numFmtId="165" fontId="11" fillId="3" borderId="29" xfId="5" applyNumberFormat="1" applyFont="1" applyFill="1" applyBorder="1" applyAlignment="1" applyProtection="1">
      <alignment horizontal="right" vertical="center"/>
    </xf>
    <xf numFmtId="165" fontId="11" fillId="3" borderId="35" xfId="5" applyNumberFormat="1" applyFont="1" applyFill="1" applyBorder="1" applyAlignment="1" applyProtection="1">
      <alignment horizontal="right" vertical="center"/>
    </xf>
    <xf numFmtId="165" fontId="11" fillId="2" borderId="15" xfId="0" applyNumberFormat="1" applyFont="1" applyFill="1" applyBorder="1" applyAlignment="1">
      <alignment horizontal="right"/>
    </xf>
    <xf numFmtId="165" fontId="2" fillId="10" borderId="29" xfId="5" applyNumberFormat="1" applyFont="1" applyFill="1" applyBorder="1" applyAlignment="1" applyProtection="1">
      <alignment horizontal="right" vertical="center"/>
      <protection locked="0"/>
    </xf>
    <xf numFmtId="165" fontId="2" fillId="10" borderId="35" xfId="5" applyNumberFormat="1" applyFont="1" applyFill="1" applyBorder="1" applyAlignment="1" applyProtection="1">
      <alignment horizontal="right" vertical="center"/>
      <protection locked="0"/>
    </xf>
    <xf numFmtId="165" fontId="11" fillId="2" borderId="14" xfId="0" applyNumberFormat="1" applyFont="1" applyFill="1" applyBorder="1" applyAlignment="1">
      <alignment horizontal="right"/>
    </xf>
    <xf numFmtId="165" fontId="2" fillId="11" borderId="59" xfId="5" applyNumberFormat="1" applyFont="1" applyFill="1" applyBorder="1" applyAlignment="1" applyProtection="1">
      <alignment horizontal="right" vertical="center"/>
    </xf>
    <xf numFmtId="165" fontId="2" fillId="11" borderId="40" xfId="5" applyNumberFormat="1" applyFont="1" applyFill="1" applyBorder="1" applyAlignment="1" applyProtection="1">
      <alignment horizontal="right" vertical="center"/>
    </xf>
    <xf numFmtId="165" fontId="2" fillId="3" borderId="63" xfId="5" applyNumberFormat="1" applyFont="1" applyFill="1" applyBorder="1" applyAlignment="1" applyProtection="1">
      <alignment horizontal="right" vertical="center"/>
    </xf>
    <xf numFmtId="165" fontId="2" fillId="3" borderId="64" xfId="5" applyNumberFormat="1" applyFont="1" applyFill="1" applyBorder="1" applyAlignment="1" applyProtection="1">
      <alignment horizontal="right" vertical="center"/>
    </xf>
    <xf numFmtId="165" fontId="2" fillId="3" borderId="66" xfId="5" applyNumberFormat="1" applyFont="1" applyFill="1" applyBorder="1" applyAlignment="1" applyProtection="1">
      <alignment horizontal="right" vertical="center"/>
    </xf>
    <xf numFmtId="165" fontId="2" fillId="3" borderId="67" xfId="5" applyNumberFormat="1" applyFont="1" applyFill="1" applyBorder="1" applyAlignment="1" applyProtection="1">
      <alignment horizontal="right" vertical="center"/>
    </xf>
    <xf numFmtId="165" fontId="2" fillId="3" borderId="70" xfId="5" applyNumberFormat="1" applyFont="1" applyFill="1" applyBorder="1" applyAlignment="1" applyProtection="1">
      <alignment horizontal="right" vertical="center"/>
    </xf>
    <xf numFmtId="165" fontId="2" fillId="3" borderId="71" xfId="5" applyNumberFormat="1" applyFont="1" applyFill="1" applyBorder="1" applyAlignment="1" applyProtection="1">
      <alignment horizontal="right" vertical="center"/>
    </xf>
    <xf numFmtId="165" fontId="2" fillId="12" borderId="59" xfId="5" applyNumberFormat="1" applyFont="1" applyFill="1" applyBorder="1" applyAlignment="1" applyProtection="1">
      <alignment horizontal="right" vertical="center"/>
    </xf>
    <xf numFmtId="165" fontId="2" fillId="12" borderId="40" xfId="5" applyNumberFormat="1" applyFont="1" applyFill="1" applyBorder="1" applyAlignment="1" applyProtection="1">
      <alignment horizontal="right" vertical="center"/>
    </xf>
    <xf numFmtId="165" fontId="2" fillId="12" borderId="74" xfId="5" applyNumberFormat="1" applyFont="1" applyFill="1" applyBorder="1" applyAlignment="1" applyProtection="1">
      <alignment horizontal="right" vertical="center"/>
    </xf>
    <xf numFmtId="165" fontId="2" fillId="3" borderId="2" xfId="5" applyNumberFormat="1" applyFont="1" applyFill="1" applyBorder="1" applyAlignment="1" applyProtection="1">
      <alignment horizontal="right" vertical="center"/>
    </xf>
    <xf numFmtId="165" fontId="2" fillId="3" borderId="75" xfId="5" applyNumberFormat="1" applyFont="1" applyFill="1" applyBorder="1" applyAlignment="1" applyProtection="1">
      <alignment horizontal="right" vertical="center"/>
    </xf>
    <xf numFmtId="165" fontId="2" fillId="3" borderId="29" xfId="5" applyNumberFormat="1" applyFont="1" applyFill="1" applyBorder="1" applyAlignment="1" applyProtection="1">
      <alignment horizontal="right" vertical="center"/>
    </xf>
    <xf numFmtId="165" fontId="2" fillId="3" borderId="25" xfId="5" applyNumberFormat="1" applyFont="1" applyFill="1" applyBorder="1" applyAlignment="1" applyProtection="1">
      <alignment horizontal="right" vertical="center"/>
    </xf>
    <xf numFmtId="165" fontId="2" fillId="3" borderId="77" xfId="5" applyNumberFormat="1" applyFont="1" applyFill="1" applyBorder="1" applyAlignment="1" applyProtection="1">
      <alignment horizontal="right" vertical="center"/>
    </xf>
    <xf numFmtId="165" fontId="2" fillId="3" borderId="35" xfId="5" applyNumberFormat="1" applyFont="1" applyFill="1" applyBorder="1" applyAlignment="1" applyProtection="1">
      <alignment horizontal="right" vertical="center"/>
    </xf>
    <xf numFmtId="167" fontId="11" fillId="10" borderId="10" xfId="1" applyNumberFormat="1" applyFont="1" applyFill="1" applyBorder="1" applyAlignment="1" applyProtection="1">
      <alignment horizontal="center" vertical="center"/>
      <protection locked="0"/>
    </xf>
    <xf numFmtId="167" fontId="2" fillId="0" borderId="10" xfId="0" applyNumberFormat="1" applyFont="1" applyBorder="1" applyAlignment="1" applyProtection="1">
      <alignment horizontal="center" vertical="center"/>
      <protection locked="0"/>
    </xf>
    <xf numFmtId="165" fontId="11" fillId="10" borderId="10" xfId="1" applyNumberFormat="1" applyFont="1" applyFill="1" applyBorder="1" applyAlignment="1" applyProtection="1">
      <alignment horizontal="center" vertical="center"/>
      <protection locked="0"/>
    </xf>
    <xf numFmtId="165" fontId="2" fillId="0" borderId="10" xfId="0" applyNumberFormat="1" applyFont="1" applyBorder="1" applyAlignment="1" applyProtection="1">
      <alignment horizontal="center" vertical="center"/>
      <protection locked="0"/>
    </xf>
    <xf numFmtId="165" fontId="11" fillId="0" borderId="21" xfId="5" applyNumberFormat="1" applyFont="1" applyFill="1" applyBorder="1" applyAlignment="1" applyProtection="1">
      <alignment horizontal="center" vertical="center"/>
    </xf>
    <xf numFmtId="165" fontId="11" fillId="0" borderId="53" xfId="5" applyNumberFormat="1" applyFont="1" applyFill="1" applyBorder="1" applyAlignment="1" applyProtection="1">
      <alignment horizontal="center" vertical="center"/>
    </xf>
    <xf numFmtId="165" fontId="11" fillId="3" borderId="22" xfId="5" applyNumberFormat="1" applyFont="1" applyFill="1" applyBorder="1" applyAlignment="1" applyProtection="1">
      <alignment horizontal="center" vertical="center"/>
    </xf>
    <xf numFmtId="167" fontId="11" fillId="3" borderId="8" xfId="5" applyNumberFormat="1" applyFont="1" applyFill="1" applyBorder="1" applyAlignment="1" applyProtection="1">
      <alignment horizontal="center" vertical="center"/>
    </xf>
    <xf numFmtId="165" fontId="2" fillId="10" borderId="2" xfId="0" applyNumberFormat="1" applyFont="1" applyFill="1" applyBorder="1" applyAlignment="1" applyProtection="1">
      <alignment horizontal="center" vertical="center"/>
      <protection locked="0"/>
    </xf>
    <xf numFmtId="165" fontId="2" fillId="0" borderId="3" xfId="0" applyNumberFormat="1" applyFont="1" applyBorder="1" applyAlignment="1" applyProtection="1">
      <alignment horizontal="center" vertical="center"/>
      <protection locked="0"/>
    </xf>
    <xf numFmtId="165" fontId="2" fillId="0" borderId="2" xfId="0" applyNumberFormat="1" applyFont="1" applyFill="1" applyBorder="1" applyAlignment="1" applyProtection="1">
      <alignment horizontal="center" vertical="center"/>
      <protection locked="0"/>
    </xf>
    <xf numFmtId="167" fontId="11" fillId="0" borderId="10" xfId="1" applyNumberFormat="1" applyFont="1" applyFill="1" applyBorder="1" applyAlignment="1" applyProtection="1">
      <alignment horizontal="center" vertical="center"/>
      <protection locked="0"/>
    </xf>
    <xf numFmtId="165" fontId="11" fillId="0" borderId="10" xfId="1" applyNumberFormat="1" applyFont="1" applyFill="1" applyBorder="1" applyAlignment="1" applyProtection="1">
      <alignment horizontal="center" vertical="center"/>
      <protection locked="0"/>
    </xf>
    <xf numFmtId="165" fontId="11" fillId="10" borderId="7" xfId="5" applyNumberFormat="1" applyFont="1" applyFill="1" applyBorder="1" applyAlignment="1" applyProtection="1">
      <alignment horizontal="center" vertical="center"/>
      <protection locked="0"/>
    </xf>
    <xf numFmtId="165" fontId="11" fillId="0" borderId="7" xfId="5" applyNumberFormat="1" applyFont="1" applyFill="1" applyBorder="1" applyAlignment="1" applyProtection="1">
      <alignment horizontal="center" vertical="center"/>
      <protection locked="0"/>
    </xf>
    <xf numFmtId="165" fontId="2" fillId="10" borderId="25" xfId="0" applyNumberFormat="1" applyFont="1" applyFill="1" applyBorder="1" applyAlignment="1" applyProtection="1">
      <alignment horizontal="center" vertical="center"/>
      <protection locked="0"/>
    </xf>
    <xf numFmtId="165" fontId="2" fillId="0" borderId="12" xfId="0" applyNumberFormat="1" applyFont="1" applyBorder="1" applyAlignment="1" applyProtection="1">
      <alignment horizontal="center" vertical="center"/>
      <protection locked="0"/>
    </xf>
    <xf numFmtId="165" fontId="2" fillId="0" borderId="25" xfId="0" applyNumberFormat="1" applyFont="1" applyFill="1" applyBorder="1" applyAlignment="1" applyProtection="1">
      <alignment horizontal="center" vertical="center"/>
      <protection locked="0"/>
    </xf>
    <xf numFmtId="165" fontId="11" fillId="0" borderId="7" xfId="5" applyNumberFormat="1" applyFont="1" applyFill="1" applyBorder="1" applyAlignment="1" applyProtection="1">
      <alignment horizontal="center" vertical="center"/>
    </xf>
    <xf numFmtId="165" fontId="11" fillId="11" borderId="8" xfId="5" applyNumberFormat="1" applyFont="1" applyFill="1" applyBorder="1" applyAlignment="1" applyProtection="1">
      <alignment horizontal="center" vertical="center"/>
    </xf>
    <xf numFmtId="165" fontId="2" fillId="0" borderId="12" xfId="5" applyNumberFormat="1" applyFont="1" applyFill="1" applyBorder="1" applyAlignment="1" applyProtection="1">
      <alignment horizontal="center" vertical="center"/>
    </xf>
    <xf numFmtId="165" fontId="2" fillId="0" borderId="43" xfId="5" applyNumberFormat="1" applyFont="1" applyFill="1" applyBorder="1" applyAlignment="1" applyProtection="1">
      <alignment horizontal="center" vertical="center"/>
    </xf>
    <xf numFmtId="167" fontId="2" fillId="10" borderId="30" xfId="1" applyNumberFormat="1" applyFont="1" applyFill="1" applyBorder="1" applyAlignment="1" applyProtection="1">
      <alignment horizontal="right" vertical="center"/>
      <protection locked="0"/>
    </xf>
    <xf numFmtId="167" fontId="2" fillId="0" borderId="11" xfId="5" applyNumberFormat="1" applyFont="1" applyFill="1" applyBorder="1" applyAlignment="1" applyProtection="1">
      <alignment horizontal="right" vertical="center"/>
      <protection locked="0"/>
    </xf>
    <xf numFmtId="167" fontId="2" fillId="2" borderId="37" xfId="0" applyNumberFormat="1" applyFont="1" applyFill="1" applyBorder="1" applyAlignment="1" applyProtection="1">
      <alignment horizontal="right" vertical="center"/>
      <protection locked="0"/>
    </xf>
    <xf numFmtId="167" fontId="11" fillId="10" borderId="32" xfId="2" applyNumberFormat="1" applyFont="1" applyFill="1" applyBorder="1" applyAlignment="1" applyProtection="1">
      <alignment horizontal="right" vertical="center"/>
      <protection locked="0"/>
    </xf>
    <xf numFmtId="167" fontId="2" fillId="10" borderId="35" xfId="0" applyNumberFormat="1" applyFont="1" applyFill="1" applyBorder="1" applyAlignment="1" applyProtection="1">
      <alignment horizontal="right" vertical="center"/>
      <protection locked="0"/>
    </xf>
    <xf numFmtId="167" fontId="2" fillId="10" borderId="27" xfId="0" applyNumberFormat="1" applyFont="1" applyFill="1" applyBorder="1" applyAlignment="1" applyProtection="1">
      <alignment horizontal="center" vertical="center"/>
      <protection locked="0"/>
    </xf>
    <xf numFmtId="167" fontId="11" fillId="2" borderId="28" xfId="0" applyNumberFormat="1" applyFont="1" applyFill="1" applyBorder="1" applyAlignment="1" applyProtection="1">
      <alignment horizontal="center" vertical="center"/>
      <protection locked="0"/>
    </xf>
    <xf numFmtId="167" fontId="2" fillId="0" borderId="29" xfId="0" applyNumberFormat="1" applyFont="1" applyBorder="1" applyAlignment="1" applyProtection="1">
      <alignment horizontal="center" vertical="center"/>
      <protection locked="0"/>
    </xf>
    <xf numFmtId="167" fontId="2" fillId="10" borderId="30" xfId="0" applyNumberFormat="1" applyFont="1" applyFill="1" applyBorder="1" applyAlignment="1" applyProtection="1">
      <alignment horizontal="center" vertical="center"/>
      <protection locked="0"/>
    </xf>
    <xf numFmtId="167" fontId="11" fillId="2" borderId="11" xfId="0" applyNumberFormat="1" applyFont="1" applyFill="1" applyBorder="1" applyAlignment="1" applyProtection="1">
      <alignment horizontal="center" vertical="center"/>
      <protection locked="0"/>
    </xf>
    <xf numFmtId="167" fontId="2" fillId="0" borderId="32" xfId="0" applyNumberFormat="1" applyFont="1" applyBorder="1" applyAlignment="1" applyProtection="1">
      <alignment horizontal="center" vertical="center"/>
      <protection locked="0"/>
    </xf>
    <xf numFmtId="167" fontId="12" fillId="5" borderId="36" xfId="0" applyNumberFormat="1" applyFont="1" applyFill="1" applyBorder="1" applyAlignment="1">
      <alignment horizontal="center" vertical="center"/>
    </xf>
    <xf numFmtId="167" fontId="12" fillId="5" borderId="57" xfId="0" applyNumberFormat="1" applyFont="1" applyFill="1" applyBorder="1" applyAlignment="1">
      <alignment horizontal="center" vertical="center"/>
    </xf>
    <xf numFmtId="167" fontId="12" fillId="5" borderId="38" xfId="0" applyNumberFormat="1" applyFont="1" applyFill="1" applyBorder="1" applyAlignment="1">
      <alignment horizontal="center" vertical="center"/>
    </xf>
    <xf numFmtId="167" fontId="12" fillId="5" borderId="39" xfId="0" applyNumberFormat="1" applyFont="1" applyFill="1" applyBorder="1" applyAlignment="1">
      <alignment horizontal="center" vertical="center"/>
    </xf>
    <xf numFmtId="10" fontId="11" fillId="6" borderId="29" xfId="2" applyNumberFormat="1" applyFont="1" applyFill="1" applyBorder="1" applyAlignment="1" applyProtection="1">
      <alignment horizontal="right"/>
    </xf>
    <xf numFmtId="10" fontId="12" fillId="5" borderId="32" xfId="2" applyNumberFormat="1" applyFont="1" applyFill="1" applyBorder="1" applyAlignment="1" applyProtection="1">
      <alignment horizontal="right" vertical="center"/>
    </xf>
    <xf numFmtId="10" fontId="12" fillId="5" borderId="35" xfId="2" applyNumberFormat="1" applyFont="1" applyFill="1" applyBorder="1" applyAlignment="1" applyProtection="1">
      <alignment horizontal="right" vertical="center"/>
    </xf>
    <xf numFmtId="167" fontId="11" fillId="0" borderId="8" xfId="5" applyNumberFormat="1" applyFont="1" applyFill="1" applyBorder="1" applyAlignment="1" applyProtection="1">
      <alignment horizontal="center" vertical="center"/>
    </xf>
    <xf numFmtId="167" fontId="11" fillId="0" borderId="24" xfId="5" applyNumberFormat="1" applyFont="1" applyFill="1" applyBorder="1" applyAlignment="1" applyProtection="1">
      <alignment horizontal="center" vertical="center"/>
    </xf>
    <xf numFmtId="165" fontId="12" fillId="5" borderId="32" xfId="5" applyNumberFormat="1" applyFont="1" applyFill="1" applyBorder="1" applyAlignment="1" applyProtection="1">
      <alignment horizontal="right"/>
    </xf>
    <xf numFmtId="0" fontId="34" fillId="4" borderId="10" xfId="0" applyFont="1" applyFill="1" applyBorder="1" applyAlignment="1">
      <alignment horizontal="right" vertical="center"/>
    </xf>
    <xf numFmtId="0" fontId="1" fillId="0" borderId="11" xfId="3" applyBorder="1" applyAlignment="1">
      <alignment horizontal="center" vertical="center"/>
    </xf>
    <xf numFmtId="0" fontId="1" fillId="0" borderId="12" xfId="3" applyBorder="1" applyAlignment="1">
      <alignment horizontal="center" vertical="center"/>
    </xf>
    <xf numFmtId="0" fontId="1" fillId="0" borderId="11" xfId="3" applyBorder="1" applyAlignment="1">
      <alignment horizontal="center" vertical="center" textRotation="90"/>
    </xf>
    <xf numFmtId="0" fontId="0" fillId="0" borderId="0" xfId="0" applyFill="1"/>
    <xf numFmtId="0" fontId="0" fillId="2" borderId="0" xfId="0" applyFill="1"/>
    <xf numFmtId="165" fontId="3" fillId="2" borderId="0" xfId="0" applyNumberFormat="1" applyFont="1" applyFill="1"/>
    <xf numFmtId="0" fontId="3" fillId="2" borderId="58" xfId="0" applyFont="1" applyFill="1" applyBorder="1"/>
    <xf numFmtId="0" fontId="3" fillId="2" borderId="73" xfId="0" applyFont="1" applyFill="1" applyBorder="1"/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</cellXfs>
  <cellStyles count="8">
    <cellStyle name="Migliaia" xfId="1" builtinId="3"/>
    <cellStyle name="Migliaia 8" xfId="5" xr:uid="{00000000-0005-0000-0000-000001000000}"/>
    <cellStyle name="Normale" xfId="0" builtinId="0"/>
    <cellStyle name="Normale 5 3" xfId="6" xr:uid="{00000000-0005-0000-0000-000003000000}"/>
    <cellStyle name="Normale 7" xfId="3" xr:uid="{00000000-0005-0000-0000-000004000000}"/>
    <cellStyle name="Percentuale" xfId="2" builtinId="5"/>
    <cellStyle name="Percentuale 7 2 2" xfId="7" xr:uid="{00000000-0005-0000-0000-000006000000}"/>
    <cellStyle name="Titolo 3 2" xfId="4" xr:uid="{00000000-0005-0000-0000-000007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66800" y="19685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Z2"/>
  <sheetViews>
    <sheetView workbookViewId="0">
      <selection activeCell="O14" sqref="O14"/>
    </sheetView>
  </sheetViews>
  <sheetFormatPr defaultRowHeight="10" x14ac:dyDescent="0.2"/>
  <cols>
    <col min="1" max="1" width="11.33203125" bestFit="1" customWidth="1"/>
    <col min="2" max="2" width="15.109375" bestFit="1" customWidth="1"/>
    <col min="3" max="26" width="3.33203125" bestFit="1" customWidth="1"/>
  </cols>
  <sheetData>
    <row r="1" spans="1:26" x14ac:dyDescent="0.2">
      <c r="A1" s="21" t="s">
        <v>20</v>
      </c>
      <c r="B1" s="22" t="s">
        <v>21</v>
      </c>
      <c r="C1" s="286">
        <v>1</v>
      </c>
      <c r="D1" s="286">
        <f>+C1+1</f>
        <v>2</v>
      </c>
      <c r="E1" s="286">
        <f t="shared" ref="E1:Z1" si="0">+D1+1</f>
        <v>3</v>
      </c>
      <c r="F1" s="286">
        <f t="shared" si="0"/>
        <v>4</v>
      </c>
      <c r="G1" s="286">
        <f t="shared" si="0"/>
        <v>5</v>
      </c>
      <c r="H1" s="286">
        <f t="shared" si="0"/>
        <v>6</v>
      </c>
      <c r="I1" s="286">
        <f t="shared" si="0"/>
        <v>7</v>
      </c>
      <c r="J1" s="286">
        <f t="shared" si="0"/>
        <v>8</v>
      </c>
      <c r="K1" s="286">
        <f t="shared" si="0"/>
        <v>9</v>
      </c>
      <c r="L1" s="286">
        <f t="shared" si="0"/>
        <v>10</v>
      </c>
      <c r="M1" s="286">
        <f t="shared" si="0"/>
        <v>11</v>
      </c>
      <c r="N1" s="286">
        <f t="shared" si="0"/>
        <v>12</v>
      </c>
      <c r="O1" s="286">
        <f t="shared" si="0"/>
        <v>13</v>
      </c>
      <c r="P1" s="286">
        <f t="shared" si="0"/>
        <v>14</v>
      </c>
      <c r="Q1" s="286">
        <f t="shared" si="0"/>
        <v>15</v>
      </c>
      <c r="R1" s="286">
        <f t="shared" si="0"/>
        <v>16</v>
      </c>
      <c r="S1" s="286">
        <f t="shared" si="0"/>
        <v>17</v>
      </c>
      <c r="T1" s="286">
        <f t="shared" si="0"/>
        <v>18</v>
      </c>
      <c r="U1" s="286">
        <f t="shared" si="0"/>
        <v>19</v>
      </c>
      <c r="V1" s="286">
        <f t="shared" si="0"/>
        <v>20</v>
      </c>
      <c r="W1" s="286">
        <f t="shared" si="0"/>
        <v>21</v>
      </c>
      <c r="X1" s="286">
        <f t="shared" si="0"/>
        <v>22</v>
      </c>
      <c r="Y1" s="286">
        <f t="shared" si="0"/>
        <v>23</v>
      </c>
      <c r="Z1" s="286">
        <f t="shared" si="0"/>
        <v>24</v>
      </c>
    </row>
    <row r="2" spans="1:26" ht="133.5" customHeight="1" thickBot="1" x14ac:dyDescent="0.25">
      <c r="A2" s="287">
        <f>+COUNTA(C2:Z2)</f>
        <v>24</v>
      </c>
      <c r="B2" s="22" t="s">
        <v>22</v>
      </c>
      <c r="C2" s="288" t="s">
        <v>122</v>
      </c>
      <c r="D2" s="288" t="s">
        <v>123</v>
      </c>
      <c r="E2" s="288" t="s">
        <v>124</v>
      </c>
      <c r="F2" s="288" t="s">
        <v>125</v>
      </c>
      <c r="G2" s="288" t="s">
        <v>126</v>
      </c>
      <c r="H2" s="288" t="s">
        <v>127</v>
      </c>
      <c r="I2" s="288" t="s">
        <v>128</v>
      </c>
      <c r="J2" s="288" t="s">
        <v>129</v>
      </c>
      <c r="K2" s="288" t="s">
        <v>130</v>
      </c>
      <c r="L2" s="288" t="s">
        <v>131</v>
      </c>
      <c r="M2" s="288" t="s">
        <v>132</v>
      </c>
      <c r="N2" s="288" t="s">
        <v>133</v>
      </c>
      <c r="O2" s="288" t="s">
        <v>134</v>
      </c>
      <c r="P2" s="288" t="s">
        <v>135</v>
      </c>
      <c r="Q2" s="288" t="s">
        <v>136</v>
      </c>
      <c r="R2" s="288" t="s">
        <v>137</v>
      </c>
      <c r="S2" s="288" t="s">
        <v>138</v>
      </c>
      <c r="T2" s="288" t="s">
        <v>139</v>
      </c>
      <c r="U2" s="288" t="s">
        <v>140</v>
      </c>
      <c r="V2" s="288" t="s">
        <v>141</v>
      </c>
      <c r="W2" s="288" t="s">
        <v>142</v>
      </c>
      <c r="X2" s="288" t="s">
        <v>143</v>
      </c>
      <c r="Y2" s="288" t="s">
        <v>144</v>
      </c>
      <c r="Z2" s="288" t="s">
        <v>145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AL254"/>
  <sheetViews>
    <sheetView zoomScaleNormal="100" workbookViewId="0">
      <pane xSplit="4" ySplit="5" topLeftCell="E6" activePane="bottomRight" state="frozen"/>
      <selection activeCell="N110" sqref="N110"/>
      <selection pane="topRight" activeCell="N110" sqref="N110"/>
      <selection pane="bottomLeft" activeCell="N110" sqref="N110"/>
      <selection pane="bottomRight" activeCell="N110" sqref="N110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1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.109375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4.9" customHeight="1" thickBot="1" x14ac:dyDescent="0.4">
      <c r="A4" s="1"/>
      <c r="B4" s="46"/>
      <c r="C4" s="3" t="s">
        <v>0</v>
      </c>
      <c r="D4" s="4"/>
      <c r="E4" s="294" t="s">
        <v>170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f>+SUM('VOLTAGGIO:ALLUVIONI PIOVERA'!E6)</f>
        <v>647805.20240435994</v>
      </c>
      <c r="F6" s="23">
        <f>+SUM('VOLTAGGIO:ALLUVIONI PIOVERA'!F6)</f>
        <v>968.49452699999983</v>
      </c>
      <c r="G6" s="170">
        <f>E6+F6</f>
        <v>648773.69693135994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f>+SUM('VOLTAGGIO:ALLUVIONI PIOVERA'!E7)</f>
        <v>0</v>
      </c>
      <c r="F7" s="23">
        <f>+SUM('VOLTAGGIO:ALLUVIONI PIOVERA'!F7)</f>
        <v>1053773.4307236522</v>
      </c>
      <c r="G7" s="170">
        <f t="shared" ref="G7:G17" si="0">E7+F7</f>
        <v>1053773.4307236522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f>+SUM('VOLTAGGIO:ALLUVIONI PIOVERA'!E8)</f>
        <v>0</v>
      </c>
      <c r="F8" s="23">
        <f>+SUM('VOLTAGGIO:ALLUVIONI PIOVERA'!F8)</f>
        <v>688566.37882668746</v>
      </c>
      <c r="G8" s="170">
        <f t="shared" si="0"/>
        <v>688566.37882668746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f>+SUM('VOLTAGGIO:ALLUVIONI PIOVERA'!E9)</f>
        <v>2907787.7580051292</v>
      </c>
      <c r="F9" s="23">
        <f>+SUM('VOLTAGGIO:ALLUVIONI PIOVERA'!F9)</f>
        <v>0</v>
      </c>
      <c r="G9" s="170">
        <f t="shared" si="0"/>
        <v>2907787.7580051292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f>+SUM('VOLTAGGIO:ALLUVIONI PIOVERA'!E10)</f>
        <v>0</v>
      </c>
      <c r="F10" s="23">
        <f>+SUM('VOLTAGGIO:ALLUVIONI PIOVERA'!F10)</f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f>+SUM('VOLTAGGIO:ALLUVIONI PIOVERA'!E11)</f>
        <v>9215.4227665499984</v>
      </c>
      <c r="F11" s="23">
        <f>+SUM('VOLTAGGIO:ALLUVIONI PIOVERA'!F11)</f>
        <v>0</v>
      </c>
      <c r="G11" s="170">
        <f t="shared" si="0"/>
        <v>9215.4227665499984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/>
      <c r="F12" s="253"/>
      <c r="G12" s="243">
        <f>E12</f>
        <v>0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+SUM('VOLTAGGIO:ALLUVIONI PIOVERA'!E13)</f>
        <v>5529.2536599299992</v>
      </c>
      <c r="F13" s="171">
        <f>+SUM('VOLTAGGIO:ALLUVIONI PIOVERA'!F13)</f>
        <v>0</v>
      </c>
      <c r="G13" s="170">
        <f t="shared" si="0"/>
        <v>5529.2536599299992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f>+SUM('VOLTAGGIO:ALLUVIONI PIOVERA'!E14)</f>
        <v>0</v>
      </c>
      <c r="F14" s="23">
        <f>+SUM('VOLTAGGIO:ALLUVIONI PIOVERA'!F14)</f>
        <v>372934.5414322663</v>
      </c>
      <c r="G14" s="170">
        <f t="shared" si="0"/>
        <v>372934.5414322663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/>
      <c r="F15" s="253"/>
      <c r="G15" s="243">
        <f>E15</f>
        <v>0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+SUM('VOLTAGGIO:ALLUVIONI PIOVERA'!E16)</f>
        <v>0</v>
      </c>
      <c r="F16" s="171">
        <f>+SUM('VOLTAGGIO:ALLUVIONI PIOVERA'!F16)</f>
        <v>270750.47707982536</v>
      </c>
      <c r="G16" s="170">
        <f t="shared" si="0"/>
        <v>270750.47707982536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f>+SUM('VOLTAGGIO:ALLUVIONI PIOVERA'!E17)</f>
        <v>-379483.99171001877</v>
      </c>
      <c r="F17" s="23">
        <f>+SUM('VOLTAGGIO:ALLUVIONI PIOVERA'!F17)</f>
        <v>216636.19163556909</v>
      </c>
      <c r="G17" s="170">
        <f t="shared" si="0"/>
        <v>-162847.80007444968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/>
      <c r="F18" s="253"/>
      <c r="G18" s="243">
        <f>F18</f>
        <v>0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/>
      <c r="F19" s="254"/>
      <c r="G19" s="245">
        <f>E19</f>
        <v>0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+SUM('VOLTAGGIO:ALLUVIONI PIOVERA'!E20)</f>
        <v>-159196.95342805699</v>
      </c>
      <c r="F20" s="171">
        <f>+SUM('VOLTAGGIO:ALLUVIONI PIOVERA'!F20)</f>
        <v>105714.95962697166</v>
      </c>
      <c r="G20" s="170">
        <f>E20+F20</f>
        <v>-53481.993801085337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f>+SUM('VOLTAGGIO:ALLUVIONI PIOVERA'!F21)</f>
        <v>631987.40759618999</v>
      </c>
      <c r="G21" s="170">
        <f>F21</f>
        <v>631987.40759618999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3390866.7533215019</v>
      </c>
      <c r="F22" s="173">
        <f>F6+F7+F8+F9+F10-F13-F16+F20+F21</f>
        <v>2210260.1942206761</v>
      </c>
      <c r="G22" s="173">
        <f>E22+F22</f>
        <v>5601126.9475421775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f>+SUM('VOLTAGGIO:ALLUVIONI PIOVERA'!E24)</f>
        <v>427140.83886473987</v>
      </c>
      <c r="F24" s="23">
        <f>+SUM('VOLTAGGIO:ALLUVIONI PIOVERA'!F24)</f>
        <v>76112.881784939993</v>
      </c>
      <c r="G24" s="174">
        <f t="shared" ref="G24:G40" si="1">E24+F24</f>
        <v>503253.72064967989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f>+SUM('VOLTAGGIO:ALLUVIONI PIOVERA'!E25)</f>
        <v>51518.646379199992</v>
      </c>
      <c r="F25" s="176">
        <f>+SUM('VOLTAGGIO:ALLUVIONI PIOVERA'!F25)</f>
        <v>209034.31288739992</v>
      </c>
      <c r="G25" s="177">
        <f t="shared" si="1"/>
        <v>260552.95926659991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f>+SUM('VOLTAGGIO:ALLUVIONI PIOVERA'!E26)</f>
        <v>1138181.5688443196</v>
      </c>
      <c r="F26" s="179">
        <f>+SUM('VOLTAGGIO:ALLUVIONI PIOVERA'!F26)</f>
        <v>209534.50944425995</v>
      </c>
      <c r="G26" s="180">
        <f t="shared" si="1"/>
        <v>1347716.0782885796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f>+SUM('VOLTAGGIO:ALLUVIONI PIOVERA'!E27)</f>
        <v>0</v>
      </c>
      <c r="F27" s="179">
        <f>+SUM('VOLTAGGIO:ALLUVIONI PIOVERA'!F27)</f>
        <v>116274.3191907897</v>
      </c>
      <c r="G27" s="180">
        <f t="shared" si="1"/>
        <v>116274.3191907897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f>+SUM('VOLTAGGIO:ALLUVIONI PIOVERA'!E28)</f>
        <v>0</v>
      </c>
      <c r="F28" s="179">
        <f>+SUM('VOLTAGGIO:ALLUVIONI PIOVERA'!F28)</f>
        <v>19850.413603019995</v>
      </c>
      <c r="G28" s="180">
        <f t="shared" si="1"/>
        <v>19850.413603019995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1189700.2152235196</v>
      </c>
      <c r="F29" s="182">
        <f>SUM(F25:F28)</f>
        <v>554693.55512546957</v>
      </c>
      <c r="G29" s="183">
        <f t="shared" si="1"/>
        <v>1744393.7703489892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f>+SUM('VOLTAGGIO:ALLUVIONI PIOVERA'!E30)</f>
        <v>439118.35149079317</v>
      </c>
      <c r="F30" s="179">
        <f>+SUM('VOLTAGGIO:ALLUVIONI PIOVERA'!F30)</f>
        <v>1701.44</v>
      </c>
      <c r="G30" s="180">
        <f t="shared" si="1"/>
        <v>440819.79149079317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543532.1177135848</v>
      </c>
      <c r="G31" s="180">
        <f t="shared" si="1"/>
        <v>543532.1177135848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f>+SUM('VOLTAGGIO:ALLUVIONI PIOVERA'!E32)</f>
        <v>0</v>
      </c>
      <c r="F32" s="179">
        <f>+SUM('VOLTAGGIO:ALLUVIONI PIOVERA'!F32)</f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f>+SUM('VOLTAGGIO:ALLUVIONI PIOVERA'!E33)</f>
        <v>0</v>
      </c>
      <c r="F33" s="179">
        <f>+SUM('VOLTAGGIO:ALLUVIONI PIOVERA'!F33)</f>
        <v>543532.1177135848</v>
      </c>
      <c r="G33" s="180">
        <f>E33+F33</f>
        <v>543532.1177135848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f>+SUM('VOLTAGGIO:ALLUVIONI PIOVERA'!E34)</f>
        <v>0</v>
      </c>
      <c r="F34" s="179">
        <f>+SUM('VOLTAGGIO:ALLUVIONI PIOVERA'!F34)</f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f>+SUM('VOLTAGGIO:ALLUVIONI PIOVERA'!E35)</f>
        <v>0</v>
      </c>
      <c r="F35" s="179">
        <f>+SUM('VOLTAGGIO:ALLUVIONI PIOVERA'!F35)</f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f>+SUM('VOLTAGGIO:ALLUVIONI PIOVERA'!E36)</f>
        <v>251728.81124423293</v>
      </c>
      <c r="F36" s="179">
        <f>+SUM('VOLTAGGIO:ALLUVIONI PIOVERA'!F36)</f>
        <v>0</v>
      </c>
      <c r="G36" s="180">
        <f t="shared" si="1"/>
        <v>251728.81124423293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f>+SUM('VOLTAGGIO:ALLUVIONI PIOVERA'!E37)</f>
        <v>0</v>
      </c>
      <c r="F37" s="179">
        <f>+SUM('VOLTAGGIO:ALLUVIONI PIOVERA'!F37)</f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690847.1627350261</v>
      </c>
      <c r="F38" s="182">
        <f>F37+F36+F31+F30</f>
        <v>545233.55771358474</v>
      </c>
      <c r="G38" s="183">
        <f t="shared" si="1"/>
        <v>1236080.7204486108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f>+SUM('VOLTAGGIO:ALLUVIONI PIOVERA'!E39)</f>
        <v>0</v>
      </c>
      <c r="F39" s="23">
        <f>+SUM('VOLTAGGIO:ALLUVIONI PIOVERA'!F39)</f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f>+SUM('VOLTAGGIO:ALLUVIONI PIOVERA'!E40)</f>
        <v>-139417.03896894548</v>
      </c>
      <c r="F40" s="23">
        <f>+SUM('VOLTAGGIO:ALLUVIONI PIOVERA'!F40)</f>
        <v>268236.63165554305</v>
      </c>
      <c r="G40" s="177">
        <f t="shared" si="1"/>
        <v>128819.59268659758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/>
      <c r="F41" s="283"/>
      <c r="G41" s="249"/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/>
      <c r="F42" s="247"/>
      <c r="G42" s="248"/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+SUM('VOLTAGGIO:ALLUVIONI PIOVERA'!E43)</f>
        <v>-56886.36451274014</v>
      </c>
      <c r="F43" s="188">
        <f>+SUM('VOLTAGGIO:ALLUVIONI PIOVERA'!F43)</f>
        <v>86168.183678498579</v>
      </c>
      <c r="G43" s="189">
        <f t="shared" ref="G43:G47" si="2">E43+F43</f>
        <v>29281.819165758439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f>+SUM('VOLTAGGIO:ALLUVIONI PIOVERA'!F44)</f>
        <v>47700.081830861396</v>
      </c>
      <c r="G44" s="177">
        <f>F44</f>
        <v>47700.081830861396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2250801.8523105453</v>
      </c>
      <c r="F45" s="192">
        <f>F24+F29+F38+F39+F43+F44</f>
        <v>1309908.2601333545</v>
      </c>
      <c r="G45" s="192">
        <f>E45+F45</f>
        <v>3560710.1124438997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f>+SUM('VOLTAGGIO:ALLUVIONI PIOVERA'!E46)</f>
        <v>0</v>
      </c>
      <c r="F46" s="23">
        <f>+SUM('VOLTAGGIO:ALLUVIONI PIOVERA'!F46)</f>
        <v>0</v>
      </c>
      <c r="G46" s="177">
        <f t="shared" si="2"/>
        <v>0</v>
      </c>
      <c r="H46" s="56"/>
      <c r="I46" s="1"/>
      <c r="L46" s="1"/>
      <c r="M46" s="1"/>
      <c r="N46" s="29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5641668.6056320472</v>
      </c>
      <c r="F47" s="192">
        <f>F22+F45-F46</f>
        <v>3520168.4543540305</v>
      </c>
      <c r="G47" s="192">
        <f t="shared" si="2"/>
        <v>9161837.0599860772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f>+SUM('VOLTAGGIO:ALLUVIONI PIOVERA'!E48)</f>
        <v>0</v>
      </c>
      <c r="F48" s="194">
        <f>+SUM('VOLTAGGIO:ALLUVIONI PIOVERA'!F48)</f>
        <v>142445.84106752995</v>
      </c>
      <c r="G48" s="195">
        <f>E48+F48</f>
        <v>142445.84106752995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f>+SUM('VOLTAGGIO:ALLUVIONI PIOVERA'!E51)</f>
        <v>0</v>
      </c>
      <c r="F51" s="196">
        <f>+SUM('VOLTAGGIO:ALLUVIONI PIOVERA'!F51)</f>
        <v>0</v>
      </c>
      <c r="G51" s="174">
        <f t="shared" ref="G51:G62" si="3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f>+SUM('VOLTAGGIO:ALLUVIONI PIOVERA'!E52)</f>
        <v>0</v>
      </c>
      <c r="F52" s="175">
        <f>+SUM('VOLTAGGIO:ALLUVIONI PIOVERA'!F52)</f>
        <v>0</v>
      </c>
      <c r="G52" s="177">
        <f t="shared" si="3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/>
      <c r="F53" s="252"/>
      <c r="G53" s="251"/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f>+SUM('VOLTAGGIO:ALLUVIONI PIOVERA'!E54)</f>
        <v>0</v>
      </c>
      <c r="F54" s="193">
        <f>+SUM('VOLTAGGIO:ALLUVIONI PIOVERA'!F54)</f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f>+SUM('VOLTAGGIO:ALLUVIONI PIOVERA'!E55)</f>
        <v>-35968.434677344201</v>
      </c>
      <c r="F55" s="198">
        <f>+SUM('VOLTAGGIO:ALLUVIONI PIOVERA'!F55)</f>
        <v>-18809.731425218783</v>
      </c>
      <c r="G55" s="199">
        <f>E55+F55</f>
        <v>-54778.166102562987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/>
      <c r="F56" s="256"/>
      <c r="G56" s="245"/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f>+SUM('VOLTAGGIO:ALLUVIONI PIOVERA'!E57)</f>
        <v>-35968.434677344201</v>
      </c>
      <c r="F57" s="193">
        <f>+SUM('VOLTAGGIO:ALLUVIONI PIOVERA'!F57)</f>
        <v>-18809.731425218783</v>
      </c>
      <c r="G57" s="197">
        <f>E57+F57</f>
        <v>-54778.166102562987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f>+SUM('VOLTAGGIO:ALLUVIONI PIOVERA'!E58)</f>
        <v>0</v>
      </c>
      <c r="F58" s="198">
        <f>+SUM('VOLTAGGIO:ALLUVIONI PIOVERA'!F58)</f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f>+SUM('VOLTAGGIO:ALLUVIONI PIOVERA'!E59)</f>
        <v>0</v>
      </c>
      <c r="F59" s="200">
        <f>+SUM('VOLTAGGIO:ALLUVIONI PIOVERA'!F59)</f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/>
      <c r="F60" s="259"/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3354898.3186441576</v>
      </c>
      <c r="F61" s="202">
        <f>F22+F51+F52+F54+F57+F58</f>
        <v>2191450.4627954573</v>
      </c>
      <c r="G61" s="202">
        <f>G22+G51+G52+G54+G57+G58</f>
        <v>5546348.7814396145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f>+SUM('VOLTAGGIO:ALLUVIONI PIOVERA'!E62)</f>
        <v>0</v>
      </c>
      <c r="F62" s="203">
        <f>+SUM('VOLTAGGIO:ALLUVIONI PIOVERA'!F62)</f>
        <v>0</v>
      </c>
      <c r="G62" s="204">
        <f t="shared" si="3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f>+SUM('VOLTAGGIO:ALLUVIONI PIOVERA'!E63)</f>
        <v>-205.99493203720522</v>
      </c>
      <c r="F63" s="205">
        <f>+SUM('VOLTAGGIO:ALLUVIONI PIOVERA'!F63)</f>
        <v>67128.476058785673</v>
      </c>
      <c r="G63" s="206">
        <f>E63+F63</f>
        <v>66922.481126748462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/>
      <c r="F64" s="260"/>
      <c r="G64" s="261"/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f>+SUM('VOLTAGGIO:ALLUVIONI PIOVERA'!E65)</f>
        <v>-205.99493203720522</v>
      </c>
      <c r="F65" s="193">
        <f>+SUM('VOLTAGGIO:ALLUVIONI PIOVERA'!F65)</f>
        <v>67128.476058785673</v>
      </c>
      <c r="G65" s="197">
        <f>E65+F65</f>
        <v>66922.481126748462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f>+SUM('VOLTAGGIO:ALLUVIONI PIOVERA'!E66)</f>
        <v>0</v>
      </c>
      <c r="F66" s="198">
        <f>+SUM('VOLTAGGIO:ALLUVIONI PIOVERA'!F66)</f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f>+SUM('VOLTAGGIO:ALLUVIONI PIOVERA'!E67)</f>
        <v>0</v>
      </c>
      <c r="F67" s="200">
        <f>+SUM('VOLTAGGIO:ALLUVIONI PIOVERA'!F67)</f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/>
      <c r="F68" s="263"/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2250595.857378508</v>
      </c>
      <c r="F69" s="208">
        <f>F45+F62+F65+F66</f>
        <v>1377036.73619214</v>
      </c>
      <c r="G69" s="209">
        <f>G45+G62+G65+G66</f>
        <v>3627632.5935706482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5605494.1760226656</v>
      </c>
      <c r="F70" s="173">
        <f>F61+F69-F46</f>
        <v>3568487.1989875976</v>
      </c>
      <c r="G70" s="173">
        <f>G61+G69-G46</f>
        <v>9173981.3750102632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/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/>
      <c r="F74" s="212"/>
      <c r="G74" s="213">
        <f>E74+F74</f>
        <v>0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/>
      <c r="F75" s="265">
        <f>+E75</f>
        <v>0</v>
      </c>
      <c r="G75" s="266">
        <f>E75</f>
        <v>0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/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/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/>
      <c r="F80" s="270"/>
      <c r="G80" s="271"/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/>
      <c r="F81" s="273"/>
      <c r="G81" s="274"/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/>
      <c r="F82" s="273"/>
      <c r="G82" s="274"/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0</v>
      </c>
      <c r="F83" s="276">
        <f>SUM(F80:F82)</f>
        <v>0</v>
      </c>
      <c r="G83" s="276">
        <f>SUM(G80:G82)</f>
        <v>0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1</v>
      </c>
      <c r="F84" s="278">
        <f>1+F83</f>
        <v>1</v>
      </c>
      <c r="G84" s="278">
        <f>1+G83</f>
        <v>1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/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/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/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/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1.7000000000000001E-2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1.0169999999999999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9173981.3750102632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f>+SUM('VOLTAGGIO:ALLUVIONI PIOVERA'!G95)</f>
        <v>5103291.9856375689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+SUM('VOLTAGGIO:ALLUVIONI PIOVERA'!G96)</f>
        <v>2622132.3233387172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f>+SUM('VOLTAGGIO:ALLUVIONI PIOVERA'!G97)</f>
        <v>7725424.3089762861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1.1875051787577384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+SUM('VOLTAGGIO:ALLUVIONI PIOVERA'!G100)</f>
        <v>7833479.1444525877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+SUM('VOLTAGGIO:ALLUVIONI PIOVERA'!G101)</f>
        <v>1340502.2305576764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/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/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/>
      <c r="F107" s="203"/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4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0</v>
      </c>
      <c r="F111" s="227">
        <f>F112+F113</f>
        <v>0</v>
      </c>
      <c r="G111" s="228">
        <f t="shared" si="4"/>
        <v>0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0</v>
      </c>
      <c r="F112" s="229">
        <f>F120*F20</f>
        <v>0</v>
      </c>
      <c r="G112" s="230">
        <f t="shared" si="4"/>
        <v>0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0</v>
      </c>
      <c r="F113" s="231">
        <f>F120*F43</f>
        <v>0</v>
      </c>
      <c r="G113" s="232">
        <f t="shared" si="4"/>
        <v>0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-518901.03067896422</v>
      </c>
      <c r="F119" s="237">
        <f>F17+F40</f>
        <v>484872.82329111214</v>
      </c>
      <c r="G119" s="238">
        <f>E119+F119</f>
        <v>-34028.207387852075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0</v>
      </c>
      <c r="F120" s="240">
        <f>MAX(0,F19-1)</f>
        <v>0</v>
      </c>
      <c r="G120" s="241">
        <f>MAX(0,G19-1)</f>
        <v>0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5">
    <pageSetUpPr fitToPage="1"/>
  </sheetPr>
  <dimension ref="A1:AL254"/>
  <sheetViews>
    <sheetView zoomScaleNormal="100" workbookViewId="0">
      <pane xSplit="4" ySplit="5" topLeftCell="E126" activePane="bottomRight" state="frozen"/>
      <selection activeCell="N110" sqref="N110"/>
      <selection pane="topRight" activeCell="N110" sqref="N110"/>
      <selection pane="bottomLeft" activeCell="N110" sqref="N110"/>
      <selection pane="bottomRight" activeCell="N110" sqref="N110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29.664062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1.5" thickBot="1" x14ac:dyDescent="0.4">
      <c r="A4" s="1"/>
      <c r="B4" s="46"/>
      <c r="C4" s="3" t="s">
        <v>0</v>
      </c>
      <c r="D4" s="4"/>
      <c r="E4" s="294" t="s">
        <v>169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v>14375.616254999999</v>
      </c>
      <c r="F6" s="23">
        <v>0</v>
      </c>
      <c r="G6" s="170">
        <f>E6+F6</f>
        <v>14375.616254999999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v>0</v>
      </c>
      <c r="F7" s="23">
        <v>36608.344232459989</v>
      </c>
      <c r="G7" s="170">
        <f t="shared" ref="G7:G17" si="0">E7+F7</f>
        <v>36608.344232459989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v>0</v>
      </c>
      <c r="F8" s="23">
        <v>5822.9291320199982</v>
      </c>
      <c r="G8" s="170">
        <f t="shared" si="0"/>
        <v>5822.9291320199982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v>20707.607160239997</v>
      </c>
      <c r="F9" s="23">
        <v>0</v>
      </c>
      <c r="G9" s="170">
        <f t="shared" si="0"/>
        <v>20707.607160239997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v>0</v>
      </c>
      <c r="F10" s="23"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v>0</v>
      </c>
      <c r="F11" s="23">
        <v>0</v>
      </c>
      <c r="G11" s="170">
        <f t="shared" si="0"/>
        <v>0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>
        <v>0.6</v>
      </c>
      <c r="F12" s="253">
        <f>+E12</f>
        <v>0.6</v>
      </c>
      <c r="G12" s="243">
        <f>E12</f>
        <v>0.6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E12*E11</f>
        <v>0</v>
      </c>
      <c r="F13" s="171">
        <f>F12*F11</f>
        <v>0</v>
      </c>
      <c r="G13" s="170">
        <f t="shared" si="0"/>
        <v>0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v>0</v>
      </c>
      <c r="F14" s="23">
        <v>4035.0801390899992</v>
      </c>
      <c r="G14" s="170">
        <f t="shared" si="0"/>
        <v>4035.0801390899992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>
        <v>0.72599999999999998</v>
      </c>
      <c r="F15" s="253">
        <f>+E15</f>
        <v>0.72599999999999998</v>
      </c>
      <c r="G15" s="243">
        <f>E15</f>
        <v>0.72599999999999998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E15*E14</f>
        <v>0</v>
      </c>
      <c r="F16" s="171">
        <f>F15*F14</f>
        <v>2929.4681809793392</v>
      </c>
      <c r="G16" s="170">
        <f t="shared" si="0"/>
        <v>2929.4681809793392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v>839.6155668999927</v>
      </c>
      <c r="F17" s="23">
        <v>934.30224882198672</v>
      </c>
      <c r="G17" s="170">
        <f t="shared" si="0"/>
        <v>1773.9178157219794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>
        <v>0.65</v>
      </c>
      <c r="F18" s="253">
        <f>+E18</f>
        <v>0.65</v>
      </c>
      <c r="G18" s="243">
        <f>F18</f>
        <v>0.65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>
        <v>2</v>
      </c>
      <c r="F19" s="254">
        <f>+E19</f>
        <v>2</v>
      </c>
      <c r="G19" s="245">
        <f>E19</f>
        <v>2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E18*E17/E19</f>
        <v>272.87505924249763</v>
      </c>
      <c r="F20" s="171">
        <f>F18*F17/F19</f>
        <v>303.64823086714568</v>
      </c>
      <c r="G20" s="170">
        <f>E20+F20</f>
        <v>576.52329010964331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v>10359.719796425998</v>
      </c>
      <c r="G21" s="170">
        <f>F21</f>
        <v>10359.719796425998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35356.098474482496</v>
      </c>
      <c r="F22" s="173">
        <f>F6+F7+F8+F9+F10-F13-F16+F20+F21</f>
        <v>50165.173210793793</v>
      </c>
      <c r="G22" s="173">
        <f>E22+F22</f>
        <v>85521.271685276297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v>0</v>
      </c>
      <c r="F24" s="23">
        <v>17215.258400339993</v>
      </c>
      <c r="G24" s="174">
        <f t="shared" ref="G24:G40" si="1">E24+F24</f>
        <v>17215.258400339993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v>0</v>
      </c>
      <c r="F25" s="176">
        <v>15284.958739049996</v>
      </c>
      <c r="G25" s="177">
        <f t="shared" si="1"/>
        <v>15284.958739049996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v>12939.248802479995</v>
      </c>
      <c r="F26" s="179">
        <v>15312.596759459997</v>
      </c>
      <c r="G26" s="180">
        <f t="shared" si="1"/>
        <v>28251.84556193999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v>0</v>
      </c>
      <c r="F27" s="179">
        <v>0</v>
      </c>
      <c r="G27" s="180">
        <f t="shared" si="1"/>
        <v>0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v>0</v>
      </c>
      <c r="F28" s="179">
        <v>0</v>
      </c>
      <c r="G28" s="180">
        <f t="shared" si="1"/>
        <v>0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12939.248802479995</v>
      </c>
      <c r="F29" s="182">
        <f>SUM(F25:F28)</f>
        <v>30597.555498509995</v>
      </c>
      <c r="G29" s="183">
        <f t="shared" si="1"/>
        <v>43536.804300989992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v>6042.2546068516749</v>
      </c>
      <c r="F30" s="179">
        <v>0</v>
      </c>
      <c r="G30" s="180">
        <f t="shared" si="1"/>
        <v>6042.2546068516749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0</v>
      </c>
      <c r="G31" s="180">
        <f t="shared" si="1"/>
        <v>0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v>0</v>
      </c>
      <c r="F32" s="179"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v>0</v>
      </c>
      <c r="F33" s="179">
        <v>0</v>
      </c>
      <c r="G33" s="180">
        <f>E33+F33</f>
        <v>0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v>0</v>
      </c>
      <c r="F34" s="179"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v>0</v>
      </c>
      <c r="F35" s="179"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v>3584.0868075746466</v>
      </c>
      <c r="F36" s="179">
        <v>0</v>
      </c>
      <c r="G36" s="180">
        <f t="shared" si="1"/>
        <v>3584.0868075746466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v>0</v>
      </c>
      <c r="F37" s="179"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9626.3414144263224</v>
      </c>
      <c r="F38" s="182">
        <f>F37+F36+F31+F30</f>
        <v>0</v>
      </c>
      <c r="G38" s="183">
        <f t="shared" si="1"/>
        <v>9626.3414144263224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v>0</v>
      </c>
      <c r="F39" s="23"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v>-2186.878916375199</v>
      </c>
      <c r="F40" s="23">
        <v>-1427.8922412255051</v>
      </c>
      <c r="G40" s="177">
        <f t="shared" si="1"/>
        <v>-3614.7711576007041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>
        <f>E18</f>
        <v>0.65</v>
      </c>
      <c r="F41" s="283">
        <f t="shared" ref="F41:G41" si="2">F18</f>
        <v>0.65</v>
      </c>
      <c r="G41" s="249">
        <f t="shared" si="2"/>
        <v>0.65</v>
      </c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>
        <f>E19</f>
        <v>2</v>
      </c>
      <c r="F42" s="247">
        <f>F19</f>
        <v>2</v>
      </c>
      <c r="G42" s="248">
        <f>G19</f>
        <v>2</v>
      </c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E41*E40/E42</f>
        <v>-710.73564782193966</v>
      </c>
      <c r="F43" s="188">
        <f>F41*F40/F42</f>
        <v>-464.06497839828916</v>
      </c>
      <c r="G43" s="189">
        <f t="shared" ref="G43:G47" si="3">E43+F43</f>
        <v>-1174.8006262202289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v>555.70536020999998</v>
      </c>
      <c r="G44" s="177">
        <f>F44</f>
        <v>555.70536020999998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21854.854569084378</v>
      </c>
      <c r="F45" s="192">
        <f>F24+F29+F38+F39+F43+F44</f>
        <v>47904.454280661696</v>
      </c>
      <c r="G45" s="192">
        <f>E45+F45</f>
        <v>69759.30884974607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v>0</v>
      </c>
      <c r="F46" s="23">
        <v>0</v>
      </c>
      <c r="G46" s="177">
        <f t="shared" si="3"/>
        <v>0</v>
      </c>
      <c r="H46" s="56"/>
      <c r="I46" s="1"/>
      <c r="L46" s="1"/>
      <c r="M46" s="1"/>
      <c r="N46" s="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57210.953043566871</v>
      </c>
      <c r="F47" s="192">
        <f>F22+F45-F46</f>
        <v>98069.627491455496</v>
      </c>
      <c r="G47" s="192">
        <f t="shared" si="3"/>
        <v>155280.58053502237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v>0</v>
      </c>
      <c r="F48" s="194">
        <v>267.88943180999991</v>
      </c>
      <c r="G48" s="195">
        <f>E48+F48</f>
        <v>267.88943180999991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v>0</v>
      </c>
      <c r="F51" s="196">
        <v>0</v>
      </c>
      <c r="G51" s="174">
        <f t="shared" ref="G51:G62" si="4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v>0</v>
      </c>
      <c r="F52" s="175">
        <v>0</v>
      </c>
      <c r="G52" s="177">
        <f t="shared" si="4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>
        <v>1</v>
      </c>
      <c r="F53" s="252">
        <f>+E53</f>
        <v>1</v>
      </c>
      <c r="G53" s="251">
        <f>E53</f>
        <v>1</v>
      </c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v>0</v>
      </c>
      <c r="F54" s="193"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v>0</v>
      </c>
      <c r="F55" s="198">
        <v>0</v>
      </c>
      <c r="G55" s="199">
        <f>E55+F55</f>
        <v>0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>
        <v>1</v>
      </c>
      <c r="F56" s="256">
        <f>+E56</f>
        <v>1</v>
      </c>
      <c r="G56" s="245">
        <f>F56</f>
        <v>1</v>
      </c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v>0</v>
      </c>
      <c r="F57" s="193">
        <v>0</v>
      </c>
      <c r="G57" s="197">
        <f>E57+F57</f>
        <v>0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v>0</v>
      </c>
      <c r="F58" s="198"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v>0</v>
      </c>
      <c r="F59" s="200"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>
        <v>0</v>
      </c>
      <c r="F60" s="259">
        <f>+E60</f>
        <v>0</v>
      </c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35356.098474482496</v>
      </c>
      <c r="F61" s="202">
        <f>F22+F51+F52+F54+F57+F58</f>
        <v>50165.173210793793</v>
      </c>
      <c r="G61" s="202">
        <f>G22+G51+G52+G54+G57+G58</f>
        <v>85521.271685276297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v>0</v>
      </c>
      <c r="F62" s="203">
        <v>0</v>
      </c>
      <c r="G62" s="204">
        <f t="shared" si="4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v>0</v>
      </c>
      <c r="F63" s="205">
        <v>0</v>
      </c>
      <c r="G63" s="206">
        <f>E63+F63</f>
        <v>0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>
        <f>E56</f>
        <v>1</v>
      </c>
      <c r="F64" s="260">
        <f>F56</f>
        <v>1</v>
      </c>
      <c r="G64" s="261">
        <f>G56</f>
        <v>1</v>
      </c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v>0</v>
      </c>
      <c r="F65" s="193">
        <v>0</v>
      </c>
      <c r="G65" s="197">
        <f>E65+F65</f>
        <v>0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v>0</v>
      </c>
      <c r="F66" s="198"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v>0</v>
      </c>
      <c r="F67" s="200"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>
        <f>E60</f>
        <v>0</v>
      </c>
      <c r="F68" s="263">
        <f>F60</f>
        <v>0</v>
      </c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21854.854569084378</v>
      </c>
      <c r="F69" s="208">
        <f>F45+F62+F65+F66</f>
        <v>47904.454280661696</v>
      </c>
      <c r="G69" s="209">
        <f>G45+G62+G65+G66</f>
        <v>69759.30884974607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57210.953043566871</v>
      </c>
      <c r="F70" s="173">
        <f>F61+F69-F46</f>
        <v>98069.627491455496</v>
      </c>
      <c r="G70" s="173">
        <f>G61+G69-G46</f>
        <v>155280.58053502237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>
        <v>0.39350000000000002</v>
      </c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>
        <v>390620</v>
      </c>
      <c r="F74" s="212"/>
      <c r="G74" s="213">
        <f>E74+F74</f>
        <v>390620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>
        <v>38.400484061281809</v>
      </c>
      <c r="F75" s="265">
        <f>+E75</f>
        <v>38.400484061281809</v>
      </c>
      <c r="G75" s="266">
        <f>E75</f>
        <v>38.400484061281809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>
        <v>31.562000000000001</v>
      </c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>
        <v>0</v>
      </c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>
        <v>-0.20699999999999999</v>
      </c>
      <c r="F80" s="270">
        <f>+E80</f>
        <v>-0.20699999999999999</v>
      </c>
      <c r="G80" s="271">
        <f>+F80</f>
        <v>-0.20699999999999999</v>
      </c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>
        <v>-0.113</v>
      </c>
      <c r="F81" s="273">
        <f t="shared" ref="F81:G82" si="5">+E81</f>
        <v>-0.113</v>
      </c>
      <c r="G81" s="274">
        <f t="shared" si="5"/>
        <v>-0.113</v>
      </c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>
        <v>-0.03</v>
      </c>
      <c r="F82" s="273">
        <f t="shared" si="5"/>
        <v>-0.03</v>
      </c>
      <c r="G82" s="274">
        <f t="shared" si="5"/>
        <v>-0.03</v>
      </c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-0.35</v>
      </c>
      <c r="F83" s="276">
        <f>SUM(F80:F82)</f>
        <v>-0.35</v>
      </c>
      <c r="G83" s="276">
        <f>SUM(G80:G82)</f>
        <v>-0.35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0.65</v>
      </c>
      <c r="F84" s="278">
        <f>1+F83</f>
        <v>0.65</v>
      </c>
      <c r="G84" s="278">
        <f>1+G83</f>
        <v>0.65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>
        <v>1E-3</v>
      </c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>
        <v>0</v>
      </c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>
        <v>0</v>
      </c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>
        <v>0</v>
      </c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1.6E-2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1.016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155280.58053502237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v>94896.131060490268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+G97-G95</f>
        <v>57503.868939509761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v>152400.00000000003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1.0189014470801991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IF(G94&lt;=G97*G93,G94,G97*G93)</f>
        <v>154838.40000000002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IF(G98&lt;=G93,0,G94-G100)</f>
        <v>442.18053502234397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>
        <v>0</v>
      </c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>
        <v>0</v>
      </c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>
        <v>0</v>
      </c>
      <c r="F107" s="203">
        <v>0</v>
      </c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6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-437.86058857944204</v>
      </c>
      <c r="F111" s="227">
        <f>F112+F113</f>
        <v>-160.41674753114347</v>
      </c>
      <c r="G111" s="228">
        <f t="shared" si="6"/>
        <v>-598.27733611058557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272.87505924249763</v>
      </c>
      <c r="F112" s="229">
        <f>F120*F20</f>
        <v>303.64823086714568</v>
      </c>
      <c r="G112" s="230">
        <f t="shared" si="6"/>
        <v>576.52329010964331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-710.73564782193966</v>
      </c>
      <c r="F113" s="231">
        <f>F120*F43</f>
        <v>-464.06497839828916</v>
      </c>
      <c r="G113" s="232">
        <f t="shared" si="6"/>
        <v>-1174.8006262202289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-1347.2633494752063</v>
      </c>
      <c r="F119" s="237">
        <f>F17+F40</f>
        <v>-493.58999240351841</v>
      </c>
      <c r="G119" s="238">
        <f>E119+F119</f>
        <v>-1840.8533418787247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1</v>
      </c>
      <c r="F120" s="240">
        <f>MAX(0,F19-1)</f>
        <v>1</v>
      </c>
      <c r="G120" s="241">
        <f>MAX(0,G19-1)</f>
        <v>1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34">
    <pageSetUpPr fitToPage="1"/>
  </sheetPr>
  <dimension ref="A1:AL254"/>
  <sheetViews>
    <sheetView zoomScaleNormal="100" workbookViewId="0">
      <pane xSplit="4" ySplit="5" topLeftCell="E98" activePane="bottomRight" state="frozen"/>
      <selection activeCell="N110" sqref="N110"/>
      <selection pane="topRight" activeCell="N110" sqref="N110"/>
      <selection pane="bottomLeft" activeCell="N110" sqref="N110"/>
      <selection pane="bottomRight" activeCell="N110" sqref="N110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29.664062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1.5" thickBot="1" x14ac:dyDescent="0.4">
      <c r="A4" s="1"/>
      <c r="B4" s="46"/>
      <c r="C4" s="3" t="s">
        <v>0</v>
      </c>
      <c r="D4" s="4"/>
      <c r="E4" s="294" t="s">
        <v>168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v>13271.188410479997</v>
      </c>
      <c r="F6" s="23">
        <v>0</v>
      </c>
      <c r="G6" s="170">
        <f>E6+F6</f>
        <v>13271.188410479997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v>0</v>
      </c>
      <c r="F7" s="23">
        <v>20145.427280283824</v>
      </c>
      <c r="G7" s="170">
        <f t="shared" ref="G7:G17" si="0">E7+F7</f>
        <v>20145.427280283824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v>0</v>
      </c>
      <c r="F8" s="23">
        <v>9751.6749246861709</v>
      </c>
      <c r="G8" s="170">
        <f t="shared" si="0"/>
        <v>9751.6749246861709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v>43173.563192759997</v>
      </c>
      <c r="F9" s="23">
        <v>0</v>
      </c>
      <c r="G9" s="170">
        <f t="shared" si="0"/>
        <v>43173.563192759997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v>0</v>
      </c>
      <c r="F10" s="23"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v>496.79619989999986</v>
      </c>
      <c r="F11" s="23">
        <v>0</v>
      </c>
      <c r="G11" s="170">
        <f t="shared" si="0"/>
        <v>496.79619989999986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>
        <v>0.6</v>
      </c>
      <c r="F12" s="253">
        <f>+E12</f>
        <v>0.6</v>
      </c>
      <c r="G12" s="243">
        <f>E12</f>
        <v>0.6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E12*E11</f>
        <v>298.07771993999989</v>
      </c>
      <c r="F13" s="171">
        <f>F12*F11</f>
        <v>0</v>
      </c>
      <c r="G13" s="170">
        <f t="shared" si="0"/>
        <v>298.07771993999989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v>0</v>
      </c>
      <c r="F14" s="23">
        <v>5438.1871947378077</v>
      </c>
      <c r="G14" s="170">
        <f t="shared" si="0"/>
        <v>5438.1871947378077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>
        <v>0.72599999999999998</v>
      </c>
      <c r="F15" s="253">
        <f>+E15</f>
        <v>0.72599999999999998</v>
      </c>
      <c r="G15" s="243">
        <f>E15</f>
        <v>0.72599999999999998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E15*E14</f>
        <v>0</v>
      </c>
      <c r="F16" s="171">
        <f>F15*F14</f>
        <v>3948.1239033796483</v>
      </c>
      <c r="G16" s="170">
        <f t="shared" si="0"/>
        <v>3948.1239033796483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v>1794.9901892090929</v>
      </c>
      <c r="F17" s="23">
        <v>1732.1884992521591</v>
      </c>
      <c r="G17" s="170">
        <f t="shared" si="0"/>
        <v>3527.178688461252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>
        <v>0.75</v>
      </c>
      <c r="F18" s="253">
        <f>+E18</f>
        <v>0.75</v>
      </c>
      <c r="G18" s="243">
        <f>F18</f>
        <v>0.75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>
        <v>1</v>
      </c>
      <c r="F19" s="254">
        <f>+E19</f>
        <v>1</v>
      </c>
      <c r="G19" s="245">
        <f>E19</f>
        <v>1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E18*E17/E19</f>
        <v>1346.2426419068197</v>
      </c>
      <c r="F20" s="171">
        <f>F18*F17/F19</f>
        <v>1299.1413744391193</v>
      </c>
      <c r="G20" s="170">
        <f>E20+F20</f>
        <v>2645.384016345939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v>8382.546253012908</v>
      </c>
      <c r="G21" s="170">
        <f>F21</f>
        <v>8382.546253012908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57492.91652520682</v>
      </c>
      <c r="F22" s="173">
        <f>F6+F7+F8+F9+F10-F13-F16+F20+F21</f>
        <v>35630.665929042378</v>
      </c>
      <c r="G22" s="173">
        <f>E22+F22</f>
        <v>93123.582454249205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v>172.53775538999997</v>
      </c>
      <c r="F24" s="23">
        <v>0</v>
      </c>
      <c r="G24" s="174">
        <f t="shared" ref="G24:G40" si="1">E24+F24</f>
        <v>172.53775538999997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v>0</v>
      </c>
      <c r="F25" s="176">
        <v>3661.455797999999</v>
      </c>
      <c r="G25" s="177">
        <f t="shared" si="1"/>
        <v>3661.455797999999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v>18933.966801750001</v>
      </c>
      <c r="F26" s="179">
        <v>4095.6085169999992</v>
      </c>
      <c r="G26" s="180">
        <f t="shared" si="1"/>
        <v>23029.575318750001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v>0</v>
      </c>
      <c r="F27" s="179">
        <v>434.2539200999999</v>
      </c>
      <c r="G27" s="180">
        <f t="shared" si="1"/>
        <v>434.2539200999999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v>0</v>
      </c>
      <c r="F28" s="179">
        <v>0</v>
      </c>
      <c r="G28" s="180">
        <f t="shared" si="1"/>
        <v>0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18933.966801750001</v>
      </c>
      <c r="F29" s="182">
        <f>SUM(F25:F28)</f>
        <v>8191.3182350999978</v>
      </c>
      <c r="G29" s="183">
        <f t="shared" si="1"/>
        <v>27125.28503685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v>6373.5764249833355</v>
      </c>
      <c r="F30" s="179">
        <v>0</v>
      </c>
      <c r="G30" s="180">
        <f t="shared" si="1"/>
        <v>6373.5764249833355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3178.4836683599997</v>
      </c>
      <c r="G31" s="180">
        <f t="shared" si="1"/>
        <v>3178.4836683599997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v>0</v>
      </c>
      <c r="F32" s="179"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v>0</v>
      </c>
      <c r="F33" s="179">
        <v>3178.4836683599997</v>
      </c>
      <c r="G33" s="180">
        <f>E33+F33</f>
        <v>3178.4836683599997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v>0</v>
      </c>
      <c r="F34" s="179"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v>0</v>
      </c>
      <c r="F35" s="179"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v>3655.3140601468513</v>
      </c>
      <c r="F36" s="179">
        <v>0</v>
      </c>
      <c r="G36" s="180">
        <f t="shared" si="1"/>
        <v>3655.3140601468513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v>0</v>
      </c>
      <c r="F37" s="179"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10028.890485130187</v>
      </c>
      <c r="F38" s="182">
        <f>F37+F36+F31+F30</f>
        <v>3178.4836683599997</v>
      </c>
      <c r="G38" s="183">
        <f t="shared" si="1"/>
        <v>13207.374153490186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v>0</v>
      </c>
      <c r="F39" s="23"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v>-1601.5132914573805</v>
      </c>
      <c r="F40" s="23">
        <v>-1451.491756934478</v>
      </c>
      <c r="G40" s="177">
        <f t="shared" si="1"/>
        <v>-3053.0050483918585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>
        <f>E18</f>
        <v>0.75</v>
      </c>
      <c r="F41" s="283">
        <f t="shared" ref="F41:G41" si="2">F18</f>
        <v>0.75</v>
      </c>
      <c r="G41" s="249">
        <f t="shared" si="2"/>
        <v>0.75</v>
      </c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>
        <f>E19</f>
        <v>1</v>
      </c>
      <c r="F42" s="247">
        <f>F19</f>
        <v>1</v>
      </c>
      <c r="G42" s="248">
        <f>G19</f>
        <v>1</v>
      </c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E41*E40/E42</f>
        <v>-1201.1349685930354</v>
      </c>
      <c r="F43" s="188">
        <f>F41*F40/F42</f>
        <v>-1088.6188177008585</v>
      </c>
      <c r="G43" s="189">
        <f t="shared" ref="G43:G47" si="3">E43+F43</f>
        <v>-2289.7537862938939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v>28.538710199999997</v>
      </c>
      <c r="G44" s="177">
        <f>F44</f>
        <v>28.538710199999997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27934.260073677153</v>
      </c>
      <c r="F45" s="192">
        <f>F24+F29+F38+F39+F43+F44</f>
        <v>10309.721795959138</v>
      </c>
      <c r="G45" s="192">
        <f>E45+F45</f>
        <v>38243.981869636293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v>0</v>
      </c>
      <c r="F46" s="23">
        <v>0</v>
      </c>
      <c r="G46" s="177">
        <f t="shared" si="3"/>
        <v>0</v>
      </c>
      <c r="H46" s="56"/>
      <c r="I46" s="1"/>
      <c r="L46" s="1"/>
      <c r="M46" s="1"/>
      <c r="N46" s="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85427.176598883976</v>
      </c>
      <c r="F47" s="192">
        <f>F22+F45-F46</f>
        <v>45940.387725001514</v>
      </c>
      <c r="G47" s="192">
        <f t="shared" si="3"/>
        <v>131367.56432388548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v>0</v>
      </c>
      <c r="F48" s="194">
        <v>1234.7951015399999</v>
      </c>
      <c r="G48" s="195">
        <f>E48+F48</f>
        <v>1234.7951015399999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v>0</v>
      </c>
      <c r="F51" s="196">
        <v>0</v>
      </c>
      <c r="G51" s="174">
        <f t="shared" ref="G51:G62" si="4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v>0</v>
      </c>
      <c r="F52" s="175">
        <v>0</v>
      </c>
      <c r="G52" s="177">
        <f t="shared" si="4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>
        <v>1</v>
      </c>
      <c r="F53" s="252">
        <f>+E53</f>
        <v>1</v>
      </c>
      <c r="G53" s="251">
        <f>E53</f>
        <v>1</v>
      </c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v>0</v>
      </c>
      <c r="F54" s="193"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v>0</v>
      </c>
      <c r="F55" s="198">
        <v>0</v>
      </c>
      <c r="G55" s="199">
        <f>E55+F55</f>
        <v>0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>
        <v>1</v>
      </c>
      <c r="F56" s="256">
        <f>+E56</f>
        <v>1</v>
      </c>
      <c r="G56" s="245">
        <f>F56</f>
        <v>1</v>
      </c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v>0</v>
      </c>
      <c r="F57" s="193">
        <v>0</v>
      </c>
      <c r="G57" s="197">
        <f>E57+F57</f>
        <v>0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v>0</v>
      </c>
      <c r="F58" s="198"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v>0</v>
      </c>
      <c r="F59" s="200"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>
        <v>0</v>
      </c>
      <c r="F60" s="259">
        <f>+E60</f>
        <v>0</v>
      </c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57492.91652520682</v>
      </c>
      <c r="F61" s="202">
        <f>F22+F51+F52+F54+F57+F58</f>
        <v>35630.665929042378</v>
      </c>
      <c r="G61" s="202">
        <f>G22+G51+G52+G54+G57+G58</f>
        <v>93123.582454249205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v>0</v>
      </c>
      <c r="F62" s="203">
        <v>0</v>
      </c>
      <c r="G62" s="204">
        <f t="shared" si="4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v>0</v>
      </c>
      <c r="F63" s="205">
        <v>0</v>
      </c>
      <c r="G63" s="206">
        <f>E63+F63</f>
        <v>0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>
        <f>E56</f>
        <v>1</v>
      </c>
      <c r="F64" s="260">
        <f>F56</f>
        <v>1</v>
      </c>
      <c r="G64" s="261">
        <f>G56</f>
        <v>1</v>
      </c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v>0</v>
      </c>
      <c r="F65" s="193">
        <v>0</v>
      </c>
      <c r="G65" s="197">
        <f>E65+F65</f>
        <v>0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v>0</v>
      </c>
      <c r="F66" s="198"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v>0</v>
      </c>
      <c r="F67" s="200"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>
        <f>E60</f>
        <v>0</v>
      </c>
      <c r="F68" s="263">
        <f>F60</f>
        <v>0</v>
      </c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27934.260073677153</v>
      </c>
      <c r="F69" s="208">
        <f>F45+F62+F65+F66</f>
        <v>10309.721795959138</v>
      </c>
      <c r="G69" s="209">
        <f>G45+G62+G65+G66</f>
        <v>38243.981869636293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85427.176598883976</v>
      </c>
      <c r="F70" s="173">
        <f>F61+F69-F46</f>
        <v>45940.387725001514</v>
      </c>
      <c r="G70" s="173">
        <f>G61+G69-G46</f>
        <v>131367.56432388548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>
        <v>0.67220000000000002</v>
      </c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>
        <v>372025</v>
      </c>
      <c r="F74" s="212"/>
      <c r="G74" s="213">
        <f>E74+F74</f>
        <v>372025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>
        <v>24.51996236812041</v>
      </c>
      <c r="F75" s="265">
        <f>+E75</f>
        <v>24.51996236812041</v>
      </c>
      <c r="G75" s="266">
        <f>E75</f>
        <v>24.51996236812041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>
        <v>32.125</v>
      </c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>
        <v>0</v>
      </c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>
        <v>-0.10299999999999999</v>
      </c>
      <c r="F80" s="270">
        <f>+E80</f>
        <v>-0.10299999999999999</v>
      </c>
      <c r="G80" s="271">
        <f>+F80</f>
        <v>-0.10299999999999999</v>
      </c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>
        <v>-0.11700000000000001</v>
      </c>
      <c r="F81" s="273">
        <f t="shared" ref="F81:G82" si="5">+E81</f>
        <v>-0.11700000000000001</v>
      </c>
      <c r="G81" s="274">
        <f t="shared" si="5"/>
        <v>-0.11700000000000001</v>
      </c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>
        <v>-0.03</v>
      </c>
      <c r="F82" s="273">
        <f t="shared" si="5"/>
        <v>-0.03</v>
      </c>
      <c r="G82" s="274">
        <f t="shared" si="5"/>
        <v>-0.03</v>
      </c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-0.25</v>
      </c>
      <c r="F83" s="276">
        <f>SUM(F80:F82)</f>
        <v>-0.25</v>
      </c>
      <c r="G83" s="276">
        <f>SUM(G80:G82)</f>
        <v>-0.25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0.75</v>
      </c>
      <c r="F84" s="278">
        <f>1+F83</f>
        <v>0.75</v>
      </c>
      <c r="G84" s="278">
        <f>1+G83</f>
        <v>0.75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>
        <v>1E-3</v>
      </c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>
        <v>0</v>
      </c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>
        <v>0</v>
      </c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>
        <v>0</v>
      </c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1.6E-2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1.016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131367.56432388548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v>76881.830414080177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+G97-G95</f>
        <v>14558.169585919823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v>91440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1.436653153148354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IF(G94&lt;=G97*G93,G94,G97*G93)</f>
        <v>92903.040000000008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IF(G98&lt;=G93,0,G94-G100)</f>
        <v>38464.524323885475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>
        <v>-865.38595735299168</v>
      </c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>
        <v>865.38595735299168</v>
      </c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>
        <v>0</v>
      </c>
      <c r="F107" s="203">
        <v>0</v>
      </c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6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0</v>
      </c>
      <c r="F111" s="227">
        <f>F112+F113</f>
        <v>0</v>
      </c>
      <c r="G111" s="228">
        <f t="shared" si="6"/>
        <v>0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0</v>
      </c>
      <c r="F112" s="229">
        <f>F120*F20</f>
        <v>0</v>
      </c>
      <c r="G112" s="230">
        <f t="shared" si="6"/>
        <v>0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0</v>
      </c>
      <c r="F113" s="231">
        <f>F120*F43</f>
        <v>0</v>
      </c>
      <c r="G113" s="232">
        <f t="shared" si="6"/>
        <v>0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193.47689775171239</v>
      </c>
      <c r="F119" s="237">
        <f>F17+F40</f>
        <v>280.69674231768113</v>
      </c>
      <c r="G119" s="238">
        <f>E119+F119</f>
        <v>474.17364006939351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0</v>
      </c>
      <c r="F120" s="240">
        <f>MAX(0,F19-1)</f>
        <v>0</v>
      </c>
      <c r="G120" s="241">
        <f>MAX(0,G19-1)</f>
        <v>0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33">
    <pageSetUpPr fitToPage="1"/>
  </sheetPr>
  <dimension ref="A1:AL254"/>
  <sheetViews>
    <sheetView zoomScaleNormal="100" workbookViewId="0">
      <pane xSplit="4" ySplit="5" topLeftCell="E98" activePane="bottomRight" state="frozen"/>
      <selection activeCell="N110" sqref="N110"/>
      <selection pane="topRight" activeCell="N110" sqref="N110"/>
      <selection pane="bottomLeft" activeCell="N110" sqref="N110"/>
      <selection pane="bottomRight" activeCell="N110" sqref="N110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29.664062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1.5" thickBot="1" x14ac:dyDescent="0.4">
      <c r="A4" s="1"/>
      <c r="B4" s="46"/>
      <c r="C4" s="3" t="s">
        <v>0</v>
      </c>
      <c r="D4" s="4"/>
      <c r="E4" s="294" t="s">
        <v>167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v>53223.64203155999</v>
      </c>
      <c r="F6" s="23">
        <v>0</v>
      </c>
      <c r="G6" s="170">
        <f>E6+F6</f>
        <v>53223.64203155999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v>0</v>
      </c>
      <c r="F7" s="23">
        <v>60468.230546467348</v>
      </c>
      <c r="G7" s="170">
        <f t="shared" ref="G7:G17" si="0">E7+F7</f>
        <v>60468.230546467348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v>0</v>
      </c>
      <c r="F8" s="23">
        <v>45969.419171932641</v>
      </c>
      <c r="G8" s="170">
        <f t="shared" si="0"/>
        <v>45969.419171932641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v>162411.43164245997</v>
      </c>
      <c r="F9" s="23">
        <v>0</v>
      </c>
      <c r="G9" s="170">
        <f t="shared" si="0"/>
        <v>162411.43164245997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v>0</v>
      </c>
      <c r="F10" s="23"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v>70.972331429999983</v>
      </c>
      <c r="F11" s="23">
        <v>0</v>
      </c>
      <c r="G11" s="170">
        <f t="shared" si="0"/>
        <v>70.972331429999983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>
        <v>0.6</v>
      </c>
      <c r="F12" s="253">
        <f>+E12</f>
        <v>0.6</v>
      </c>
      <c r="G12" s="243">
        <f>E12</f>
        <v>0.6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E12*E11</f>
        <v>42.583398857999988</v>
      </c>
      <c r="F13" s="171">
        <f>F12*F11</f>
        <v>0</v>
      </c>
      <c r="G13" s="170">
        <f t="shared" si="0"/>
        <v>42.583398857999988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v>0</v>
      </c>
      <c r="F14" s="23">
        <v>15015.73409942776</v>
      </c>
      <c r="G14" s="170">
        <f t="shared" si="0"/>
        <v>15015.73409942776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>
        <v>0.72599999999999998</v>
      </c>
      <c r="F15" s="253">
        <f>+E15</f>
        <v>0.72599999999999998</v>
      </c>
      <c r="G15" s="243">
        <f>E15</f>
        <v>0.72599999999999998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E15*E14</f>
        <v>0</v>
      </c>
      <c r="F16" s="171">
        <f>F15*F14</f>
        <v>10901.422956184553</v>
      </c>
      <c r="G16" s="170">
        <f t="shared" si="0"/>
        <v>10901.422956184553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v>6561.6718039199477</v>
      </c>
      <c r="F17" s="23">
        <v>4846.4676052263239</v>
      </c>
      <c r="G17" s="170">
        <f t="shared" si="0"/>
        <v>11408.139409146272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>
        <v>0.65</v>
      </c>
      <c r="F18" s="253">
        <f>+E18</f>
        <v>0.65</v>
      </c>
      <c r="G18" s="243">
        <f>F18</f>
        <v>0.65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>
        <v>1</v>
      </c>
      <c r="F19" s="254">
        <f>+E19</f>
        <v>1</v>
      </c>
      <c r="G19" s="245">
        <f>E19</f>
        <v>1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E18*E17/E19</f>
        <v>4265.0866725479664</v>
      </c>
      <c r="F20" s="171">
        <f>F18*F17/F19</f>
        <v>3150.2039433971108</v>
      </c>
      <c r="G20" s="170">
        <f>E20+F20</f>
        <v>7415.2906159450777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v>37580.867575250995</v>
      </c>
      <c r="G21" s="170">
        <f>F21</f>
        <v>37580.867575250995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219857.57694770992</v>
      </c>
      <c r="F22" s="173">
        <f>F6+F7+F8+F9+F10-F13-F16+F20+F21</f>
        <v>136267.29828086353</v>
      </c>
      <c r="G22" s="173">
        <f>E22+F22</f>
        <v>356124.87522857345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v>4795.3432827299994</v>
      </c>
      <c r="F24" s="23">
        <v>0</v>
      </c>
      <c r="G24" s="174">
        <f t="shared" ref="G24:G40" si="1">E24+F24</f>
        <v>4795.3432827299994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v>0</v>
      </c>
      <c r="F25" s="176">
        <v>0</v>
      </c>
      <c r="G25" s="177">
        <f t="shared" si="1"/>
        <v>0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v>82964.702260439968</v>
      </c>
      <c r="F26" s="179">
        <v>18216.197999999997</v>
      </c>
      <c r="G26" s="180">
        <f t="shared" si="1"/>
        <v>101180.90026043996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v>0</v>
      </c>
      <c r="F27" s="179">
        <v>0</v>
      </c>
      <c r="G27" s="180">
        <f t="shared" si="1"/>
        <v>0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v>0</v>
      </c>
      <c r="F28" s="179">
        <v>0</v>
      </c>
      <c r="G28" s="180">
        <f t="shared" si="1"/>
        <v>0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82964.702260439968</v>
      </c>
      <c r="F29" s="182">
        <f>SUM(F25:F28)</f>
        <v>18216.197999999997</v>
      </c>
      <c r="G29" s="183">
        <f t="shared" si="1"/>
        <v>101180.90026043996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v>27554.363326623068</v>
      </c>
      <c r="F30" s="179">
        <v>0</v>
      </c>
      <c r="G30" s="180">
        <f t="shared" si="1"/>
        <v>27554.363326623068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0</v>
      </c>
      <c r="G31" s="180">
        <f t="shared" si="1"/>
        <v>0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v>0</v>
      </c>
      <c r="F32" s="179"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v>0</v>
      </c>
      <c r="F33" s="179">
        <v>0</v>
      </c>
      <c r="G33" s="180">
        <f>E33+F33</f>
        <v>0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v>0</v>
      </c>
      <c r="F34" s="179"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v>0</v>
      </c>
      <c r="F35" s="179"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v>16484.233309279662</v>
      </c>
      <c r="F36" s="179">
        <v>0</v>
      </c>
      <c r="G36" s="180">
        <f t="shared" si="1"/>
        <v>16484.233309279662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v>0</v>
      </c>
      <c r="F37" s="179"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44038.59663590273</v>
      </c>
      <c r="F38" s="182">
        <f>F37+F36+F31+F30</f>
        <v>0</v>
      </c>
      <c r="G38" s="183">
        <f t="shared" si="1"/>
        <v>44038.59663590273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v>0</v>
      </c>
      <c r="F39" s="23"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v>-11245.899217477061</v>
      </c>
      <c r="F40" s="23">
        <v>-6527.9032243465335</v>
      </c>
      <c r="G40" s="177">
        <f t="shared" si="1"/>
        <v>-17773.802441823595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>
        <f>E18</f>
        <v>0.65</v>
      </c>
      <c r="F41" s="283">
        <f t="shared" ref="F41:G41" si="2">F18</f>
        <v>0.65</v>
      </c>
      <c r="G41" s="249">
        <f t="shared" si="2"/>
        <v>0.65</v>
      </c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>
        <f>E19</f>
        <v>1</v>
      </c>
      <c r="F42" s="247">
        <f>F19</f>
        <v>1</v>
      </c>
      <c r="G42" s="248">
        <f>G19</f>
        <v>1</v>
      </c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E41*E40/E42</f>
        <v>-7309.8344913600895</v>
      </c>
      <c r="F43" s="188">
        <f>F41*F40/F42</f>
        <v>-4243.1370958252473</v>
      </c>
      <c r="G43" s="189">
        <f t="shared" ref="G43:G47" si="3">E43+F43</f>
        <v>-11552.971587185337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v>486.57488879999977</v>
      </c>
      <c r="G44" s="177">
        <f>F44</f>
        <v>486.57488879999977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124488.8076877126</v>
      </c>
      <c r="F45" s="192">
        <f>F24+F29+F38+F39+F43+F44</f>
        <v>14459.635792974748</v>
      </c>
      <c r="G45" s="192">
        <f>E45+F45</f>
        <v>138948.44348068736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v>0</v>
      </c>
      <c r="F46" s="23">
        <v>0</v>
      </c>
      <c r="G46" s="177">
        <f t="shared" si="3"/>
        <v>0</v>
      </c>
      <c r="H46" s="56"/>
      <c r="I46" s="1"/>
      <c r="L46" s="1"/>
      <c r="M46" s="1"/>
      <c r="N46" s="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344346.3846354225</v>
      </c>
      <c r="F47" s="192">
        <f>F22+F45-F46</f>
        <v>150726.93407383829</v>
      </c>
      <c r="G47" s="192">
        <f t="shared" si="3"/>
        <v>495073.31870926078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v>0</v>
      </c>
      <c r="F48" s="194">
        <v>1795.3075139999996</v>
      </c>
      <c r="G48" s="195">
        <f>E48+F48</f>
        <v>1795.3075139999996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v>0</v>
      </c>
      <c r="F51" s="196">
        <v>0</v>
      </c>
      <c r="G51" s="174">
        <f t="shared" ref="G51:G62" si="4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v>0</v>
      </c>
      <c r="F52" s="175">
        <v>0</v>
      </c>
      <c r="G52" s="177">
        <f t="shared" si="4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>
        <v>1</v>
      </c>
      <c r="F53" s="252">
        <f>+E53</f>
        <v>1</v>
      </c>
      <c r="G53" s="251">
        <f>E53</f>
        <v>1</v>
      </c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v>0</v>
      </c>
      <c r="F54" s="193"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v>0</v>
      </c>
      <c r="F55" s="198">
        <v>0</v>
      </c>
      <c r="G55" s="199">
        <f>E55+F55</f>
        <v>0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>
        <v>1</v>
      </c>
      <c r="F56" s="256">
        <f>+E56</f>
        <v>1</v>
      </c>
      <c r="G56" s="245">
        <f>F56</f>
        <v>1</v>
      </c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v>0</v>
      </c>
      <c r="F57" s="193">
        <v>0</v>
      </c>
      <c r="G57" s="197">
        <f>E57+F57</f>
        <v>0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v>0</v>
      </c>
      <c r="F58" s="198"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v>0</v>
      </c>
      <c r="F59" s="200"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>
        <v>0</v>
      </c>
      <c r="F60" s="259">
        <f>+E60</f>
        <v>0</v>
      </c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219857.57694770992</v>
      </c>
      <c r="F61" s="202">
        <f>F22+F51+F52+F54+F57+F58</f>
        <v>136267.29828086353</v>
      </c>
      <c r="G61" s="202">
        <f>G22+G51+G52+G54+G57+G58</f>
        <v>356124.87522857345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v>0</v>
      </c>
      <c r="F62" s="203">
        <v>0</v>
      </c>
      <c r="G62" s="204">
        <f t="shared" si="4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v>0</v>
      </c>
      <c r="F63" s="205">
        <v>0</v>
      </c>
      <c r="G63" s="206">
        <f>E63+F63</f>
        <v>0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>
        <f>E56</f>
        <v>1</v>
      </c>
      <c r="F64" s="260">
        <f>F56</f>
        <v>1</v>
      </c>
      <c r="G64" s="261">
        <f>G56</f>
        <v>1</v>
      </c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v>0</v>
      </c>
      <c r="F65" s="193">
        <v>0</v>
      </c>
      <c r="G65" s="197">
        <f>E65+F65</f>
        <v>0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v>0</v>
      </c>
      <c r="F66" s="198"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v>0</v>
      </c>
      <c r="F67" s="200"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>
        <f>E60</f>
        <v>0</v>
      </c>
      <c r="F68" s="263">
        <f>F60</f>
        <v>0</v>
      </c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124488.8076877126</v>
      </c>
      <c r="F69" s="208">
        <f>F45+F62+F65+F66</f>
        <v>14459.635792974748</v>
      </c>
      <c r="G69" s="209">
        <f>G45+G62+G65+G66</f>
        <v>138948.44348068736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344346.3846354225</v>
      </c>
      <c r="F70" s="173">
        <f>F61+F69-F46</f>
        <v>150726.93407383829</v>
      </c>
      <c r="G70" s="173">
        <f>G61+G69-G46</f>
        <v>495073.31870926078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>
        <v>0.70689999999999997</v>
      </c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>
        <v>1368391</v>
      </c>
      <c r="F74" s="212"/>
      <c r="G74" s="213">
        <f>E74+F74</f>
        <v>1368391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>
        <v>32.227664461400288</v>
      </c>
      <c r="F75" s="265">
        <f>+E75</f>
        <v>32.227664461400288</v>
      </c>
      <c r="G75" s="266">
        <f>E75</f>
        <v>32.227664461400288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>
        <v>30.333999999999996</v>
      </c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>
        <v>0</v>
      </c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>
        <v>-0.20699999999999999</v>
      </c>
      <c r="F80" s="270">
        <f>+E80</f>
        <v>-0.20699999999999999</v>
      </c>
      <c r="G80" s="271">
        <f>+F80</f>
        <v>-0.20699999999999999</v>
      </c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>
        <v>-0.113</v>
      </c>
      <c r="F81" s="273">
        <f t="shared" ref="F81:G82" si="5">+E81</f>
        <v>-0.113</v>
      </c>
      <c r="G81" s="274">
        <f t="shared" si="5"/>
        <v>-0.113</v>
      </c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>
        <v>-0.03</v>
      </c>
      <c r="F82" s="273">
        <f t="shared" si="5"/>
        <v>-0.03</v>
      </c>
      <c r="G82" s="274">
        <f t="shared" si="5"/>
        <v>-0.03</v>
      </c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-0.35</v>
      </c>
      <c r="F83" s="276">
        <f>SUM(F80:F82)</f>
        <v>-0.35</v>
      </c>
      <c r="G83" s="276">
        <f>SUM(G80:G82)</f>
        <v>-0.35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0.65</v>
      </c>
      <c r="F84" s="278">
        <f>1+F83</f>
        <v>0.65</v>
      </c>
      <c r="G84" s="278">
        <f>1+G83</f>
        <v>0.65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>
        <v>1E-3</v>
      </c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>
        <v>0</v>
      </c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>
        <v>0</v>
      </c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>
        <v>0</v>
      </c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1.6E-2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1.016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495073.31870926078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v>275374.23743480031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+G97-G95</f>
        <v>162115.36256519979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v>437489.60000000009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1.1316230573464161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IF(G94&lt;=G97*G93,G94,G97*G93)</f>
        <v>444489.43360000011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IF(G98&lt;=G93,0,G94-G100)</f>
        <v>50583.885109260678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>
        <v>-25675.790306813084</v>
      </c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>
        <v>25675.790306813084</v>
      </c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>
        <v>0</v>
      </c>
      <c r="F107" s="203">
        <v>0</v>
      </c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6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0</v>
      </c>
      <c r="F111" s="227">
        <f>F112+F113</f>
        <v>0</v>
      </c>
      <c r="G111" s="228">
        <f t="shared" si="6"/>
        <v>0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0</v>
      </c>
      <c r="F112" s="229">
        <f>F120*F20</f>
        <v>0</v>
      </c>
      <c r="G112" s="230">
        <f t="shared" si="6"/>
        <v>0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0</v>
      </c>
      <c r="F113" s="231">
        <f>F120*F43</f>
        <v>0</v>
      </c>
      <c r="G113" s="232">
        <f t="shared" si="6"/>
        <v>0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-4684.2274135571133</v>
      </c>
      <c r="F119" s="237">
        <f>F17+F40</f>
        <v>-1681.4356191202096</v>
      </c>
      <c r="G119" s="238">
        <f>E119+F119</f>
        <v>-6365.6630326773229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0</v>
      </c>
      <c r="F120" s="240">
        <f>MAX(0,F19-1)</f>
        <v>0</v>
      </c>
      <c r="G120" s="241">
        <f>MAX(0,G19-1)</f>
        <v>0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31">
    <pageSetUpPr fitToPage="1"/>
  </sheetPr>
  <dimension ref="A1:AL254"/>
  <sheetViews>
    <sheetView zoomScaleNormal="100" workbookViewId="0">
      <pane xSplit="4" ySplit="5" topLeftCell="E98" activePane="bottomRight" state="frozen"/>
      <selection activeCell="N110" sqref="N110"/>
      <selection pane="topRight" activeCell="N110" sqref="N110"/>
      <selection pane="bottomLeft" activeCell="N110" sqref="N110"/>
      <selection pane="bottomRight" activeCell="N110" sqref="N110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29.664062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1.5" thickBot="1" x14ac:dyDescent="0.4">
      <c r="A4" s="1"/>
      <c r="B4" s="46"/>
      <c r="C4" s="3" t="s">
        <v>0</v>
      </c>
      <c r="D4" s="4"/>
      <c r="E4" s="294" t="s">
        <v>166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v>11301.744163709998</v>
      </c>
      <c r="F6" s="23">
        <v>0</v>
      </c>
      <c r="G6" s="170">
        <f>E6+F6</f>
        <v>11301.744163709998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v>0</v>
      </c>
      <c r="F7" s="23">
        <v>5523.449504549616</v>
      </c>
      <c r="G7" s="170">
        <f t="shared" ref="G7:G17" si="0">E7+F7</f>
        <v>5523.449504549616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v>0</v>
      </c>
      <c r="F8" s="23">
        <v>9854.9178498003821</v>
      </c>
      <c r="G8" s="170">
        <f t="shared" si="0"/>
        <v>9854.9178498003821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v>57437.068869179988</v>
      </c>
      <c r="F9" s="23">
        <v>0</v>
      </c>
      <c r="G9" s="170">
        <f t="shared" si="0"/>
        <v>57437.068869179988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v>0</v>
      </c>
      <c r="F10" s="23"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v>857.84124425999983</v>
      </c>
      <c r="F11" s="23">
        <v>0</v>
      </c>
      <c r="G11" s="170">
        <f t="shared" si="0"/>
        <v>857.84124425999983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>
        <v>0.6</v>
      </c>
      <c r="F12" s="253">
        <f>+E12</f>
        <v>0.6</v>
      </c>
      <c r="G12" s="243">
        <f>E12</f>
        <v>0.6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E12*E11</f>
        <v>514.70474655599992</v>
      </c>
      <c r="F13" s="171">
        <f>F12*F11</f>
        <v>0</v>
      </c>
      <c r="G13" s="170">
        <f t="shared" si="0"/>
        <v>514.70474655599992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v>0</v>
      </c>
      <c r="F14" s="23">
        <v>6187.0129386414428</v>
      </c>
      <c r="G14" s="170">
        <f t="shared" si="0"/>
        <v>6187.0129386414428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>
        <v>0.72599999999999998</v>
      </c>
      <c r="F15" s="253">
        <f>+E15</f>
        <v>0.72599999999999998</v>
      </c>
      <c r="G15" s="243">
        <f>E15</f>
        <v>0.72599999999999998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E15*E14</f>
        <v>0</v>
      </c>
      <c r="F16" s="171">
        <f>F15*F14</f>
        <v>4491.7713934536878</v>
      </c>
      <c r="G16" s="170">
        <f t="shared" si="0"/>
        <v>4491.7713934536878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v>-7634.3608400135126</v>
      </c>
      <c r="F17" s="23">
        <v>817.47695369147186</v>
      </c>
      <c r="G17" s="170">
        <f t="shared" si="0"/>
        <v>-6816.8838863220408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>
        <v>0.33899999999999997</v>
      </c>
      <c r="F18" s="253">
        <f>+E18</f>
        <v>0.33899999999999997</v>
      </c>
      <c r="G18" s="243">
        <f>F18</f>
        <v>0.33899999999999997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>
        <v>1</v>
      </c>
      <c r="F19" s="254">
        <f>+E19</f>
        <v>1</v>
      </c>
      <c r="G19" s="245">
        <f>E19</f>
        <v>1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E18*E17/E19</f>
        <v>-2588.0483247645807</v>
      </c>
      <c r="F20" s="171">
        <f>F18*F17/F19</f>
        <v>277.12468730140893</v>
      </c>
      <c r="G20" s="170">
        <f>E20+F20</f>
        <v>-2310.9236374631719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v>8999.2720501543499</v>
      </c>
      <c r="G21" s="170">
        <f>F21</f>
        <v>8999.2720501543499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65636.059961569408</v>
      </c>
      <c r="F22" s="173">
        <f>F6+F7+F8+F9+F10-F13-F16+F20+F21</f>
        <v>20162.992698352071</v>
      </c>
      <c r="G22" s="173">
        <f>E22+F22</f>
        <v>85799.052659921479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v>4440.2589831599989</v>
      </c>
      <c r="F24" s="23">
        <v>1261.9777169999998</v>
      </c>
      <c r="G24" s="174">
        <f t="shared" ref="G24:G40" si="1">E24+F24</f>
        <v>5702.2367001599987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v>0</v>
      </c>
      <c r="F25" s="176">
        <v>2125.2230999999997</v>
      </c>
      <c r="G25" s="177">
        <f t="shared" si="1"/>
        <v>2125.2230999999997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v>13801.795897889997</v>
      </c>
      <c r="F26" s="179">
        <v>1541.2927529999997</v>
      </c>
      <c r="G26" s="180">
        <f t="shared" si="1"/>
        <v>15343.088650889997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v>0</v>
      </c>
      <c r="F27" s="179">
        <v>0</v>
      </c>
      <c r="G27" s="180">
        <f t="shared" si="1"/>
        <v>0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v>0</v>
      </c>
      <c r="F28" s="179">
        <v>0</v>
      </c>
      <c r="G28" s="180">
        <f t="shared" si="1"/>
        <v>0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13801.795897889997</v>
      </c>
      <c r="F29" s="182">
        <f>SUM(F25:F28)</f>
        <v>3666.5158529999994</v>
      </c>
      <c r="G29" s="183">
        <f t="shared" si="1"/>
        <v>17468.311750889996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v>6812.6211045593873</v>
      </c>
      <c r="F30" s="179">
        <v>0</v>
      </c>
      <c r="G30" s="180">
        <f t="shared" si="1"/>
        <v>6812.6211045593873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14911.982084999996</v>
      </c>
      <c r="G31" s="180">
        <f t="shared" si="1"/>
        <v>14911.982084999996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v>0</v>
      </c>
      <c r="F32" s="179"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v>0</v>
      </c>
      <c r="F33" s="179">
        <v>14911.982084999996</v>
      </c>
      <c r="G33" s="180">
        <f>E33+F33</f>
        <v>14911.982084999996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v>0</v>
      </c>
      <c r="F34" s="179"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v>0</v>
      </c>
      <c r="F35" s="179"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v>3594.1181687545459</v>
      </c>
      <c r="F36" s="179">
        <v>0</v>
      </c>
      <c r="G36" s="180">
        <f t="shared" si="1"/>
        <v>3594.1181687545459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v>0</v>
      </c>
      <c r="F37" s="179"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10406.739273313933</v>
      </c>
      <c r="F38" s="182">
        <f>F37+F36+F31+F30</f>
        <v>14911.982084999996</v>
      </c>
      <c r="G38" s="183">
        <f t="shared" si="1"/>
        <v>25318.721358313931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v>0</v>
      </c>
      <c r="F39" s="23"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v>-4318.3654510390024</v>
      </c>
      <c r="F40" s="23">
        <v>12389.506049476229</v>
      </c>
      <c r="G40" s="177">
        <f t="shared" si="1"/>
        <v>8071.1405984372268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>
        <f>E18</f>
        <v>0.33899999999999997</v>
      </c>
      <c r="F41" s="283">
        <f t="shared" ref="F41:G41" si="2">F18</f>
        <v>0.33899999999999997</v>
      </c>
      <c r="G41" s="249">
        <f t="shared" si="2"/>
        <v>0.33899999999999997</v>
      </c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>
        <f>E19</f>
        <v>1</v>
      </c>
      <c r="F42" s="247">
        <f>F19</f>
        <v>1</v>
      </c>
      <c r="G42" s="248">
        <f>G19</f>
        <v>1</v>
      </c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E41*E40/E42</f>
        <v>-1463.9258879022216</v>
      </c>
      <c r="F43" s="188">
        <f>F41*F40/F42</f>
        <v>4200.0425507724412</v>
      </c>
      <c r="G43" s="189">
        <f t="shared" ref="G43:G47" si="3">E43+F43</f>
        <v>2736.1166628702194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v>96.618714191999956</v>
      </c>
      <c r="G44" s="177">
        <f>F44</f>
        <v>96.618714191999956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27184.868266461712</v>
      </c>
      <c r="F45" s="192">
        <f>F24+F29+F38+F39+F43+F44</f>
        <v>24137.136919964436</v>
      </c>
      <c r="G45" s="192">
        <f>E45+F45</f>
        <v>51322.005186426148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v>0</v>
      </c>
      <c r="F46" s="23">
        <v>0</v>
      </c>
      <c r="G46" s="177">
        <f t="shared" si="3"/>
        <v>0</v>
      </c>
      <c r="H46" s="56"/>
      <c r="I46" s="1"/>
      <c r="L46" s="1"/>
      <c r="M46" s="1"/>
      <c r="N46" s="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92820.928228031116</v>
      </c>
      <c r="F47" s="192">
        <f>F22+F45-F46</f>
        <v>44300.12961831651</v>
      </c>
      <c r="G47" s="192">
        <f t="shared" si="3"/>
        <v>137121.05784634763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v>0</v>
      </c>
      <c r="F48" s="194">
        <v>0</v>
      </c>
      <c r="G48" s="195">
        <f>E48+F48</f>
        <v>0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v>0</v>
      </c>
      <c r="F51" s="196">
        <v>0</v>
      </c>
      <c r="G51" s="174">
        <f t="shared" ref="G51:G62" si="4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v>0</v>
      </c>
      <c r="F52" s="175">
        <v>0</v>
      </c>
      <c r="G52" s="177">
        <f t="shared" si="4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>
        <v>1</v>
      </c>
      <c r="F53" s="252">
        <f>+E53</f>
        <v>1</v>
      </c>
      <c r="G53" s="251">
        <f>E53</f>
        <v>1</v>
      </c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v>0</v>
      </c>
      <c r="F54" s="193"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v>-9384.7276940411684</v>
      </c>
      <c r="F55" s="198">
        <v>-5245.7651870165901</v>
      </c>
      <c r="G55" s="199">
        <f>E55+F55</f>
        <v>-14630.492881057758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>
        <v>1</v>
      </c>
      <c r="F56" s="256">
        <f>+E56</f>
        <v>1</v>
      </c>
      <c r="G56" s="245">
        <f>F56</f>
        <v>1</v>
      </c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v>-9384.7276940411684</v>
      </c>
      <c r="F57" s="193">
        <v>-5245.7651870165901</v>
      </c>
      <c r="G57" s="197">
        <f>E57+F57</f>
        <v>-14630.492881057758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v>0</v>
      </c>
      <c r="F58" s="198"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v>0</v>
      </c>
      <c r="F59" s="200"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>
        <v>0</v>
      </c>
      <c r="F60" s="259">
        <f>+E60</f>
        <v>0</v>
      </c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56251.33226752824</v>
      </c>
      <c r="F61" s="202">
        <f>F22+F51+F52+F54+F57+F58</f>
        <v>14917.227511335481</v>
      </c>
      <c r="G61" s="202">
        <f>G22+G51+G52+G54+G57+G58</f>
        <v>71168.559778863724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v>0</v>
      </c>
      <c r="F62" s="203">
        <v>0</v>
      </c>
      <c r="G62" s="204">
        <f t="shared" si="4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v>138.16228921250877</v>
      </c>
      <c r="F63" s="205">
        <v>16115.570591845244</v>
      </c>
      <c r="G63" s="206">
        <f>E63+F63</f>
        <v>16253.732881057753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>
        <f>E56</f>
        <v>1</v>
      </c>
      <c r="F64" s="260">
        <f>F56</f>
        <v>1</v>
      </c>
      <c r="G64" s="261">
        <f>G56</f>
        <v>1</v>
      </c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v>138.16228921250877</v>
      </c>
      <c r="F65" s="193">
        <v>16115.570591845244</v>
      </c>
      <c r="G65" s="197">
        <f>E65+F65</f>
        <v>16253.732881057753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v>0</v>
      </c>
      <c r="F66" s="198"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v>0</v>
      </c>
      <c r="F67" s="200"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>
        <f>E60</f>
        <v>0</v>
      </c>
      <c r="F68" s="263">
        <f>F60</f>
        <v>0</v>
      </c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27323.030555674221</v>
      </c>
      <c r="F69" s="208">
        <f>F45+F62+F65+F66</f>
        <v>40252.707511809684</v>
      </c>
      <c r="G69" s="209">
        <f>G45+G62+G65+G66</f>
        <v>67575.738067483908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83574.362823202464</v>
      </c>
      <c r="F70" s="173">
        <f>F61+F69-F46</f>
        <v>55169.935023145168</v>
      </c>
      <c r="G70" s="173">
        <f>G61+G69-G46</f>
        <v>138744.29784634762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>
        <v>0.85119999999999996</v>
      </c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>
        <v>240333</v>
      </c>
      <c r="F74" s="212"/>
      <c r="G74" s="213">
        <f>E74+F74</f>
        <v>240333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>
        <v>42.239725713905287</v>
      </c>
      <c r="F75" s="265">
        <f>+E75</f>
        <v>42.239725713905287</v>
      </c>
      <c r="G75" s="266">
        <f>E75</f>
        <v>42.239725713905287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>
        <v>33.261000000000003</v>
      </c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>
        <v>0</v>
      </c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>
        <v>-0.33400000000000002</v>
      </c>
      <c r="F80" s="270">
        <f>+E80</f>
        <v>-0.33400000000000002</v>
      </c>
      <c r="G80" s="271">
        <f>+F80</f>
        <v>-0.33400000000000002</v>
      </c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>
        <v>-0.22700000000000001</v>
      </c>
      <c r="F81" s="273">
        <f t="shared" ref="F81:G82" si="5">+E81</f>
        <v>-0.22700000000000001</v>
      </c>
      <c r="G81" s="274">
        <f t="shared" si="5"/>
        <v>-0.22700000000000001</v>
      </c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>
        <v>-0.1</v>
      </c>
      <c r="F82" s="273">
        <f t="shared" si="5"/>
        <v>-0.1</v>
      </c>
      <c r="G82" s="274">
        <f t="shared" si="5"/>
        <v>-0.1</v>
      </c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-0.66100000000000003</v>
      </c>
      <c r="F83" s="276">
        <f>SUM(F80:F82)</f>
        <v>-0.66100000000000003</v>
      </c>
      <c r="G83" s="276">
        <f>SUM(G80:G82)</f>
        <v>-0.66100000000000003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0.33899999999999997</v>
      </c>
      <c r="F84" s="278">
        <f>1+F83</f>
        <v>0.33899999999999997</v>
      </c>
      <c r="G84" s="278">
        <f>1+G83</f>
        <v>0.33899999999999997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>
        <v>1E-3</v>
      </c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>
        <v>0</v>
      </c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>
        <v>0</v>
      </c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>
        <v>0.03</v>
      </c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4.5999999999999999E-2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1.046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138744.29784634762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v>80076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+G97-G95</f>
        <v>21440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v>101516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1.3667234509471178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IF(G94&lt;=G97*G93,G94,G97*G93)</f>
        <v>106185.736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IF(G98&lt;=G93,0,G94-G100)</f>
        <v>32558.561846347613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>
        <v>0</v>
      </c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>
        <v>0</v>
      </c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>
        <v>0</v>
      </c>
      <c r="F107" s="203">
        <v>0</v>
      </c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6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0</v>
      </c>
      <c r="F111" s="227">
        <f>F112+F113</f>
        <v>0</v>
      </c>
      <c r="G111" s="228">
        <f t="shared" si="6"/>
        <v>0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0</v>
      </c>
      <c r="F112" s="229">
        <f>F120*F20</f>
        <v>0</v>
      </c>
      <c r="G112" s="230">
        <f t="shared" si="6"/>
        <v>0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0</v>
      </c>
      <c r="F113" s="231">
        <f>F120*F43</f>
        <v>0</v>
      </c>
      <c r="G113" s="232">
        <f t="shared" si="6"/>
        <v>0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-11952.726291052515</v>
      </c>
      <c r="F119" s="237">
        <f>F17+F40</f>
        <v>13206.983003167701</v>
      </c>
      <c r="G119" s="238">
        <f>E119+F119</f>
        <v>1254.256712115186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0</v>
      </c>
      <c r="F120" s="240">
        <f>MAX(0,F19-1)</f>
        <v>0</v>
      </c>
      <c r="G120" s="241">
        <f>MAX(0,G19-1)</f>
        <v>0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29">
    <pageSetUpPr fitToPage="1"/>
  </sheetPr>
  <dimension ref="A1:AL254"/>
  <sheetViews>
    <sheetView zoomScaleNormal="100" workbookViewId="0">
      <pane xSplit="4" ySplit="5" topLeftCell="E98" activePane="bottomRight" state="frozen"/>
      <selection activeCell="N110" sqref="N110"/>
      <selection pane="topRight" activeCell="N110" sqref="N110"/>
      <selection pane="bottomLeft" activeCell="N110" sqref="N110"/>
      <selection pane="bottomRight" activeCell="N110" sqref="N110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29.664062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1.5" thickBot="1" x14ac:dyDescent="0.4">
      <c r="A4" s="1"/>
      <c r="B4" s="46"/>
      <c r="C4" s="3" t="s">
        <v>0</v>
      </c>
      <c r="D4" s="4"/>
      <c r="E4" s="294" t="s">
        <v>165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v>122601.83349413998</v>
      </c>
      <c r="F6" s="23">
        <v>0</v>
      </c>
      <c r="G6" s="170">
        <f>E6+F6</f>
        <v>122601.83349413998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v>0</v>
      </c>
      <c r="F7" s="23">
        <v>233158.7451384966</v>
      </c>
      <c r="G7" s="170">
        <f t="shared" ref="G7:G17" si="0">E7+F7</f>
        <v>233158.7451384966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v>0</v>
      </c>
      <c r="F8" s="23">
        <v>113747.17981709332</v>
      </c>
      <c r="G8" s="170">
        <f t="shared" si="0"/>
        <v>113747.17981709332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v>552224.07273033005</v>
      </c>
      <c r="F9" s="23">
        <v>0</v>
      </c>
      <c r="G9" s="170">
        <f t="shared" si="0"/>
        <v>552224.07273033005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v>0</v>
      </c>
      <c r="F10" s="23"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v>1502.6035724699996</v>
      </c>
      <c r="F11" s="23">
        <v>0</v>
      </c>
      <c r="G11" s="170">
        <f t="shared" si="0"/>
        <v>1502.6035724699996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>
        <v>0.6</v>
      </c>
      <c r="F12" s="253">
        <f>+E12</f>
        <v>0.6</v>
      </c>
      <c r="G12" s="243">
        <f>E12</f>
        <v>0.6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E12*E11</f>
        <v>901.56214348199967</v>
      </c>
      <c r="F13" s="171">
        <f>F12*F11</f>
        <v>0</v>
      </c>
      <c r="G13" s="170">
        <f t="shared" si="0"/>
        <v>901.56214348199967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v>0</v>
      </c>
      <c r="F14" s="23">
        <v>41822.432482536955</v>
      </c>
      <c r="G14" s="170">
        <f t="shared" si="0"/>
        <v>41822.432482536955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>
        <v>0.72599999999999998</v>
      </c>
      <c r="F15" s="253">
        <f>+E15</f>
        <v>0.72599999999999998</v>
      </c>
      <c r="G15" s="243">
        <f>E15</f>
        <v>0.72599999999999998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E15*E14</f>
        <v>0</v>
      </c>
      <c r="F16" s="171">
        <f>F15*F14</f>
        <v>30363.085982321827</v>
      </c>
      <c r="G16" s="170">
        <f t="shared" si="0"/>
        <v>30363.085982321827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v>41758.133657599916</v>
      </c>
      <c r="F17" s="23">
        <v>5116.6450792050455</v>
      </c>
      <c r="G17" s="170">
        <f t="shared" si="0"/>
        <v>46874.778736804961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>
        <v>0.33899999999999997</v>
      </c>
      <c r="F18" s="253">
        <f>+E18</f>
        <v>0.33899999999999997</v>
      </c>
      <c r="G18" s="243">
        <f>F18</f>
        <v>0.33899999999999997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>
        <v>1</v>
      </c>
      <c r="F19" s="254">
        <f>+E19</f>
        <v>1</v>
      </c>
      <c r="G19" s="245">
        <f>E19</f>
        <v>1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E18*E17/E19</f>
        <v>14156.00730992637</v>
      </c>
      <c r="F20" s="171">
        <f>F18*F17/F19</f>
        <v>1734.5426818505102</v>
      </c>
      <c r="G20" s="170">
        <f>E20+F20</f>
        <v>15890.549991776879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v>93983.72167524838</v>
      </c>
      <c r="G21" s="170">
        <f>F21</f>
        <v>93983.72167524838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688080.35139091429</v>
      </c>
      <c r="F22" s="173">
        <f>F6+F7+F8+F9+F10-F13-F16+F20+F21</f>
        <v>412261.10333036701</v>
      </c>
      <c r="G22" s="173">
        <f>E22+F22</f>
        <v>1100341.4547212813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v>63180.808140449983</v>
      </c>
      <c r="F24" s="23">
        <v>0</v>
      </c>
      <c r="G24" s="174">
        <f t="shared" ref="G24:G40" si="1">E24+F24</f>
        <v>63180.808140449983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v>0</v>
      </c>
      <c r="F25" s="176">
        <v>87363.559873589984</v>
      </c>
      <c r="G25" s="177">
        <f t="shared" si="1"/>
        <v>87363.559873589984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v>133147.74712238996</v>
      </c>
      <c r="F26" s="179">
        <v>0</v>
      </c>
      <c r="G26" s="180">
        <f t="shared" si="1"/>
        <v>133147.74712238996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v>0</v>
      </c>
      <c r="F27" s="179">
        <v>67342.848572759714</v>
      </c>
      <c r="G27" s="180">
        <f t="shared" si="1"/>
        <v>67342.848572759714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v>0</v>
      </c>
      <c r="F28" s="179">
        <v>0</v>
      </c>
      <c r="G28" s="180">
        <f t="shared" si="1"/>
        <v>0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133147.74712238996</v>
      </c>
      <c r="F29" s="182">
        <f>SUM(F25:F28)</f>
        <v>154706.4084463497</v>
      </c>
      <c r="G29" s="183">
        <f t="shared" si="1"/>
        <v>287854.15556873963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v>57915.161930565751</v>
      </c>
      <c r="F30" s="179">
        <v>0</v>
      </c>
      <c r="G30" s="180">
        <f t="shared" si="1"/>
        <v>57915.161930565751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157079.74276994998</v>
      </c>
      <c r="G31" s="180">
        <f t="shared" si="1"/>
        <v>157079.74276994998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v>0</v>
      </c>
      <c r="F32" s="179"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v>0</v>
      </c>
      <c r="F33" s="179">
        <v>157079.74276994998</v>
      </c>
      <c r="G33" s="180">
        <f>E33+F33</f>
        <v>157079.74276994998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v>0</v>
      </c>
      <c r="F34" s="179"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v>0</v>
      </c>
      <c r="F35" s="179"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v>31061.364615508781</v>
      </c>
      <c r="F36" s="179">
        <v>0</v>
      </c>
      <c r="G36" s="180">
        <f t="shared" si="1"/>
        <v>31061.364615508781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v>0</v>
      </c>
      <c r="F37" s="179"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88976.526546074529</v>
      </c>
      <c r="F38" s="182">
        <f>F37+F36+F31+F30</f>
        <v>157079.74276994998</v>
      </c>
      <c r="G38" s="183">
        <f t="shared" si="1"/>
        <v>246056.2693160245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v>0</v>
      </c>
      <c r="F39" s="23"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v>11680.339526531461</v>
      </c>
      <c r="F40" s="23">
        <v>128158.89012964035</v>
      </c>
      <c r="G40" s="177">
        <f t="shared" si="1"/>
        <v>139839.22965617181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>
        <f>E18</f>
        <v>0.33899999999999997</v>
      </c>
      <c r="F41" s="283">
        <f t="shared" ref="F41:G41" si="2">F18</f>
        <v>0.33899999999999997</v>
      </c>
      <c r="G41" s="249">
        <f t="shared" si="2"/>
        <v>0.33899999999999997</v>
      </c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>
        <f>E19</f>
        <v>1</v>
      </c>
      <c r="F42" s="247">
        <f>F19</f>
        <v>1</v>
      </c>
      <c r="G42" s="248">
        <f>G19</f>
        <v>1</v>
      </c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E41*E40/E42</f>
        <v>3959.6350994941649</v>
      </c>
      <c r="F43" s="188">
        <f>F41*F40/F42</f>
        <v>43445.863753948077</v>
      </c>
      <c r="G43" s="189">
        <f t="shared" ref="G43:G47" si="3">E43+F43</f>
        <v>47405.498853442245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v>20627.002508111989</v>
      </c>
      <c r="G44" s="177">
        <f>F44</f>
        <v>20627.002508111989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289264.71690840868</v>
      </c>
      <c r="F45" s="192">
        <f>F24+F29+F38+F39+F43+F44</f>
        <v>375859.01747835975</v>
      </c>
      <c r="G45" s="192">
        <f>E45+F45</f>
        <v>665123.73438676842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v>0</v>
      </c>
      <c r="F46" s="23">
        <v>0</v>
      </c>
      <c r="G46" s="177">
        <f t="shared" si="3"/>
        <v>0</v>
      </c>
      <c r="H46" s="56"/>
      <c r="I46" s="1"/>
      <c r="L46" s="1"/>
      <c r="M46" s="1"/>
      <c r="N46" s="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977345.06829932297</v>
      </c>
      <c r="F47" s="192">
        <f>F22+F45-F46</f>
        <v>788120.12080872676</v>
      </c>
      <c r="G47" s="192">
        <f t="shared" si="3"/>
        <v>1765465.1891080497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v>0</v>
      </c>
      <c r="F48" s="194">
        <v>2728.9483821599993</v>
      </c>
      <c r="G48" s="195">
        <f>E48+F48</f>
        <v>2728.9483821599993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v>0</v>
      </c>
      <c r="F51" s="196">
        <v>0</v>
      </c>
      <c r="G51" s="174">
        <f t="shared" ref="G51:G62" si="4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v>0</v>
      </c>
      <c r="F52" s="175">
        <v>0</v>
      </c>
      <c r="G52" s="177">
        <f t="shared" si="4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>
        <v>1</v>
      </c>
      <c r="F53" s="252">
        <f>+E53</f>
        <v>1</v>
      </c>
      <c r="G53" s="251">
        <f>E53</f>
        <v>1</v>
      </c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v>0</v>
      </c>
      <c r="F54" s="193"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v>0</v>
      </c>
      <c r="F55" s="198">
        <v>0</v>
      </c>
      <c r="G55" s="199">
        <f>E55+F55</f>
        <v>0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>
        <v>1</v>
      </c>
      <c r="F56" s="256">
        <f>+E56</f>
        <v>1</v>
      </c>
      <c r="G56" s="245">
        <f>F56</f>
        <v>1</v>
      </c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v>0</v>
      </c>
      <c r="F57" s="193">
        <v>0</v>
      </c>
      <c r="G57" s="197">
        <f>E57+F57</f>
        <v>0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v>0</v>
      </c>
      <c r="F58" s="198"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v>0</v>
      </c>
      <c r="F59" s="200"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>
        <v>0</v>
      </c>
      <c r="F60" s="259">
        <f>+E60</f>
        <v>0</v>
      </c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688080.35139091429</v>
      </c>
      <c r="F61" s="202">
        <f>F22+F51+F52+F54+F57+F58</f>
        <v>412261.10333036701</v>
      </c>
      <c r="G61" s="202">
        <f>G22+G51+G52+G54+G57+G58</f>
        <v>1100341.4547212813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v>0</v>
      </c>
      <c r="F62" s="203">
        <v>0</v>
      </c>
      <c r="G62" s="204">
        <f t="shared" si="4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v>0</v>
      </c>
      <c r="F63" s="205">
        <v>0</v>
      </c>
      <c r="G63" s="206">
        <f>E63+F63</f>
        <v>0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>
        <f>E56</f>
        <v>1</v>
      </c>
      <c r="F64" s="260">
        <f>F56</f>
        <v>1</v>
      </c>
      <c r="G64" s="261">
        <f>G56</f>
        <v>1</v>
      </c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v>0</v>
      </c>
      <c r="F65" s="193">
        <v>0</v>
      </c>
      <c r="G65" s="197">
        <f>E65+F65</f>
        <v>0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v>0</v>
      </c>
      <c r="F66" s="198"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v>0</v>
      </c>
      <c r="F67" s="200"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>
        <f>E60</f>
        <v>0</v>
      </c>
      <c r="F68" s="263">
        <f>F60</f>
        <v>0</v>
      </c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289264.71690840868</v>
      </c>
      <c r="F69" s="208">
        <f>F45+F62+F65+F66</f>
        <v>375859.01747835975</v>
      </c>
      <c r="G69" s="209">
        <f>G45+G62+G65+G66</f>
        <v>665123.73438676842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977345.06829932297</v>
      </c>
      <c r="F70" s="173">
        <f>F61+F69-F46</f>
        <v>788120.12080872676</v>
      </c>
      <c r="G70" s="173">
        <f>G61+G69-G46</f>
        <v>1765465.1891080497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>
        <v>0.52849999999999997</v>
      </c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>
        <v>3243354</v>
      </c>
      <c r="F74" s="212"/>
      <c r="G74" s="213">
        <f>E74+F74</f>
        <v>3243354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>
        <v>48.298414542476714</v>
      </c>
      <c r="F75" s="265">
        <f>+E75</f>
        <v>48.298414542476714</v>
      </c>
      <c r="G75" s="266">
        <f>E75</f>
        <v>48.298414542476714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>
        <v>28.257000000000001</v>
      </c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>
        <v>0</v>
      </c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>
        <v>-0.33400000000000002</v>
      </c>
      <c r="F80" s="270">
        <f>+E80</f>
        <v>-0.33400000000000002</v>
      </c>
      <c r="G80" s="271">
        <f>+F80</f>
        <v>-0.33400000000000002</v>
      </c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>
        <v>-0.22700000000000001</v>
      </c>
      <c r="F81" s="273">
        <f t="shared" ref="F81:G82" si="5">+E81</f>
        <v>-0.22700000000000001</v>
      </c>
      <c r="G81" s="274">
        <f t="shared" si="5"/>
        <v>-0.22700000000000001</v>
      </c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>
        <v>-0.1</v>
      </c>
      <c r="F82" s="273">
        <f t="shared" si="5"/>
        <v>-0.1</v>
      </c>
      <c r="G82" s="274">
        <f t="shared" si="5"/>
        <v>-0.1</v>
      </c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-0.66100000000000003</v>
      </c>
      <c r="F83" s="276">
        <f>SUM(F80:F82)</f>
        <v>-0.66100000000000003</v>
      </c>
      <c r="G83" s="276">
        <f>SUM(G80:G82)</f>
        <v>-0.66100000000000003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0.33899999999999997</v>
      </c>
      <c r="F84" s="278">
        <f>1+F83</f>
        <v>0.33899999999999997</v>
      </c>
      <c r="G84" s="278">
        <f>1+G83</f>
        <v>0.33899999999999997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>
        <v>1E-3</v>
      </c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>
        <v>0</v>
      </c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>
        <v>0</v>
      </c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>
        <v>0</v>
      </c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1.6E-2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1.016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1765465.1891080497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v>727984.38049054146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+G97-G95</f>
        <v>637351.97950945888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v>1365336.3600000003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1.2930624575969318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IF(G94&lt;=G97*G93,G94,G97*G93)</f>
        <v>1387181.7417600004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IF(G98&lt;=G93,0,G94-G100)</f>
        <v>378283.44734804938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>
        <v>-226760.1981326316</v>
      </c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>
        <v>226760.1981326316</v>
      </c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>
        <v>0</v>
      </c>
      <c r="F107" s="203">
        <v>0</v>
      </c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6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0</v>
      </c>
      <c r="F111" s="227">
        <f>F112+F113</f>
        <v>0</v>
      </c>
      <c r="G111" s="228">
        <f t="shared" si="6"/>
        <v>0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0</v>
      </c>
      <c r="F112" s="229">
        <f>F120*F20</f>
        <v>0</v>
      </c>
      <c r="G112" s="230">
        <f t="shared" si="6"/>
        <v>0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0</v>
      </c>
      <c r="F113" s="231">
        <f>F120*F43</f>
        <v>0</v>
      </c>
      <c r="G113" s="232">
        <f t="shared" si="6"/>
        <v>0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53438.473184131377</v>
      </c>
      <c r="F119" s="237">
        <f>F17+F40</f>
        <v>133275.53520884539</v>
      </c>
      <c r="G119" s="238">
        <f>E119+F119</f>
        <v>186714.00839297677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0</v>
      </c>
      <c r="F120" s="240">
        <f>MAX(0,F19-1)</f>
        <v>0</v>
      </c>
      <c r="G120" s="241">
        <f>MAX(0,G19-1)</f>
        <v>0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28">
    <pageSetUpPr fitToPage="1"/>
  </sheetPr>
  <dimension ref="A1:AL254"/>
  <sheetViews>
    <sheetView zoomScaleNormal="100" workbookViewId="0">
      <pane xSplit="4" ySplit="5" topLeftCell="E98" activePane="bottomRight" state="frozen"/>
      <selection activeCell="N110" sqref="N110"/>
      <selection pane="topRight" activeCell="N110" sqref="N110"/>
      <selection pane="bottomLeft" activeCell="N110" sqref="N110"/>
      <selection pane="bottomRight" activeCell="N110" sqref="N110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29.664062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1.5" thickBot="1" x14ac:dyDescent="0.4">
      <c r="A4" s="1"/>
      <c r="B4" s="46"/>
      <c r="C4" s="3" t="s">
        <v>0</v>
      </c>
      <c r="D4" s="4"/>
      <c r="E4" s="294" t="s">
        <v>164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v>10793.330077529998</v>
      </c>
      <c r="F6" s="23">
        <v>968.49452699999983</v>
      </c>
      <c r="G6" s="170">
        <f>E6+F6</f>
        <v>11761.824604529997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v>0</v>
      </c>
      <c r="F7" s="23">
        <v>10435.535405299337</v>
      </c>
      <c r="G7" s="170">
        <f t="shared" ref="G7:G17" si="0">E7+F7</f>
        <v>10435.535405299337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v>0</v>
      </c>
      <c r="F8" s="23">
        <v>2825.4316940806589</v>
      </c>
      <c r="G8" s="170">
        <f t="shared" si="0"/>
        <v>2825.4316940806589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v>30031.719908189993</v>
      </c>
      <c r="F9" s="23">
        <v>0</v>
      </c>
      <c r="G9" s="170">
        <f t="shared" si="0"/>
        <v>30031.719908189993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v>0</v>
      </c>
      <c r="F10" s="23"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v>51.784602869999993</v>
      </c>
      <c r="F11" s="23">
        <v>0</v>
      </c>
      <c r="G11" s="170">
        <f t="shared" si="0"/>
        <v>51.784602869999993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>
        <v>0.6</v>
      </c>
      <c r="F12" s="253">
        <f>+E12</f>
        <v>0.6</v>
      </c>
      <c r="G12" s="243">
        <f>E12</f>
        <v>0.6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E12*E11</f>
        <v>31.070761721999993</v>
      </c>
      <c r="F13" s="171">
        <f>F12*F11</f>
        <v>0</v>
      </c>
      <c r="G13" s="170">
        <f t="shared" si="0"/>
        <v>31.070761721999993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v>0</v>
      </c>
      <c r="F14" s="23">
        <v>2477.4029279999995</v>
      </c>
      <c r="G14" s="170">
        <f t="shared" si="0"/>
        <v>2477.4029279999995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>
        <v>0.72599999999999998</v>
      </c>
      <c r="F15" s="253">
        <f>+E15</f>
        <v>0.72599999999999998</v>
      </c>
      <c r="G15" s="243">
        <f>E15</f>
        <v>0.72599999999999998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E15*E14</f>
        <v>0</v>
      </c>
      <c r="F16" s="171">
        <f>F15*F14</f>
        <v>1798.5945257279996</v>
      </c>
      <c r="G16" s="170">
        <f t="shared" si="0"/>
        <v>1798.5945257279996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v>-3547.180445530008</v>
      </c>
      <c r="F17" s="23">
        <v>3119.4776242990738</v>
      </c>
      <c r="G17" s="170">
        <f t="shared" si="0"/>
        <v>-427.70282123093421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>
        <v>0.65</v>
      </c>
      <c r="F18" s="253">
        <f>+E18</f>
        <v>0.65</v>
      </c>
      <c r="G18" s="243">
        <f>F18</f>
        <v>0.65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>
        <v>1</v>
      </c>
      <c r="F19" s="254">
        <f>+E19</f>
        <v>1</v>
      </c>
      <c r="G19" s="245">
        <f>E19</f>
        <v>1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E18*E17/E19</f>
        <v>-2305.6672895945053</v>
      </c>
      <c r="F20" s="171">
        <f>F18*F17/F19</f>
        <v>2027.6604557943981</v>
      </c>
      <c r="G20" s="170">
        <f>E20+F20</f>
        <v>-278.00683380010719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v>5153.4838555199985</v>
      </c>
      <c r="G21" s="170">
        <f>F21</f>
        <v>5153.4838555199985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38488.311934403479</v>
      </c>
      <c r="F22" s="173">
        <f>F6+F7+F8+F9+F10-F13-F16+F20+F21</f>
        <v>19612.011411966392</v>
      </c>
      <c r="G22" s="173">
        <f>E22+F22</f>
        <v>58100.323346369871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v>15.686170499999996</v>
      </c>
      <c r="F24" s="23">
        <v>0</v>
      </c>
      <c r="G24" s="174">
        <f t="shared" ref="G24:G40" si="1">E24+F24</f>
        <v>15.686170499999996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v>0</v>
      </c>
      <c r="F25" s="176">
        <v>151.80164999999997</v>
      </c>
      <c r="G25" s="177">
        <f t="shared" si="1"/>
        <v>151.80164999999997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v>13154.685704159994</v>
      </c>
      <c r="F26" s="179">
        <v>1371.2749049999998</v>
      </c>
      <c r="G26" s="180">
        <f t="shared" si="1"/>
        <v>14525.960609159994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v>0</v>
      </c>
      <c r="F27" s="179">
        <v>819.72890999999981</v>
      </c>
      <c r="G27" s="180">
        <f t="shared" si="1"/>
        <v>819.72890999999981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v>0</v>
      </c>
      <c r="F28" s="179">
        <v>0</v>
      </c>
      <c r="G28" s="180">
        <f t="shared" si="1"/>
        <v>0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13154.685704159994</v>
      </c>
      <c r="F29" s="182">
        <f>SUM(F25:F28)</f>
        <v>2342.8054649999995</v>
      </c>
      <c r="G29" s="183">
        <f t="shared" si="1"/>
        <v>15497.491169159994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v>4615.1885345735209</v>
      </c>
      <c r="F30" s="179">
        <v>0</v>
      </c>
      <c r="G30" s="180">
        <f t="shared" si="1"/>
        <v>4615.1885345735209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0</v>
      </c>
      <c r="G31" s="180">
        <f t="shared" si="1"/>
        <v>0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v>0</v>
      </c>
      <c r="F32" s="179"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v>0</v>
      </c>
      <c r="F33" s="179">
        <v>0</v>
      </c>
      <c r="G33" s="180">
        <f>E33+F33</f>
        <v>0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v>0</v>
      </c>
      <c r="F34" s="179"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v>0</v>
      </c>
      <c r="F35" s="179"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v>2582.0824201849</v>
      </c>
      <c r="F36" s="179">
        <v>0</v>
      </c>
      <c r="G36" s="180">
        <f t="shared" si="1"/>
        <v>2582.0824201849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v>0</v>
      </c>
      <c r="F37" s="179"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7197.2709547584209</v>
      </c>
      <c r="F38" s="182">
        <f>F37+F36+F31+F30</f>
        <v>0</v>
      </c>
      <c r="G38" s="183">
        <f t="shared" si="1"/>
        <v>7197.2709547584209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v>0</v>
      </c>
      <c r="F39" s="23"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v>-1981.3627213094505</v>
      </c>
      <c r="F40" s="23">
        <v>827.8421537046479</v>
      </c>
      <c r="G40" s="177">
        <f t="shared" si="1"/>
        <v>-1153.5205676048026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>
        <f>E18</f>
        <v>0.65</v>
      </c>
      <c r="F41" s="283">
        <f t="shared" ref="F41:G41" si="2">F18</f>
        <v>0.65</v>
      </c>
      <c r="G41" s="249">
        <f t="shared" si="2"/>
        <v>0.65</v>
      </c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>
        <f>E19</f>
        <v>1</v>
      </c>
      <c r="F42" s="247">
        <f>F19</f>
        <v>1</v>
      </c>
      <c r="G42" s="248">
        <f>G19</f>
        <v>1</v>
      </c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E41*E40/E42</f>
        <v>-1287.885768851143</v>
      </c>
      <c r="F43" s="188">
        <f>F41*F40/F42</f>
        <v>538.0973999080212</v>
      </c>
      <c r="G43" s="189">
        <f t="shared" ref="G43:G47" si="3">E43+F43</f>
        <v>-749.78836894312178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v>0</v>
      </c>
      <c r="G44" s="177">
        <f>F44</f>
        <v>0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19079.757060567274</v>
      </c>
      <c r="F45" s="192">
        <f>F24+F29+F38+F39+F43+F44</f>
        <v>2880.9028649080205</v>
      </c>
      <c r="G45" s="192">
        <f>E45+F45</f>
        <v>21960.659925475295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v>0</v>
      </c>
      <c r="F46" s="23">
        <v>0</v>
      </c>
      <c r="G46" s="177">
        <f t="shared" si="3"/>
        <v>0</v>
      </c>
      <c r="H46" s="56"/>
      <c r="I46" s="1"/>
      <c r="L46" s="1"/>
      <c r="M46" s="1"/>
      <c r="N46" s="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57568.068994970752</v>
      </c>
      <c r="F47" s="192">
        <f>F22+F45-F46</f>
        <v>22492.914276874413</v>
      </c>
      <c r="G47" s="192">
        <f t="shared" si="3"/>
        <v>80060.983271845165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v>0</v>
      </c>
      <c r="F48" s="194">
        <v>0</v>
      </c>
      <c r="G48" s="195">
        <f>E48+F48</f>
        <v>0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v>0</v>
      </c>
      <c r="F51" s="196">
        <v>0</v>
      </c>
      <c r="G51" s="174">
        <f t="shared" ref="G51:G62" si="4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v>0</v>
      </c>
      <c r="F52" s="175">
        <v>0</v>
      </c>
      <c r="G52" s="177">
        <f t="shared" si="4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>
        <v>1</v>
      </c>
      <c r="F53" s="252">
        <f>+E53</f>
        <v>1</v>
      </c>
      <c r="G53" s="251">
        <f>E53</f>
        <v>1</v>
      </c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v>0</v>
      </c>
      <c r="F54" s="193"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v>0</v>
      </c>
      <c r="F55" s="198">
        <v>0</v>
      </c>
      <c r="G55" s="199">
        <f>E55+F55</f>
        <v>0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>
        <v>1</v>
      </c>
      <c r="F56" s="256">
        <f>+E56</f>
        <v>1</v>
      </c>
      <c r="G56" s="245">
        <f>F56</f>
        <v>1</v>
      </c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v>0</v>
      </c>
      <c r="F57" s="193">
        <v>0</v>
      </c>
      <c r="G57" s="197">
        <f>E57+F57</f>
        <v>0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v>0</v>
      </c>
      <c r="F58" s="198"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v>0</v>
      </c>
      <c r="F59" s="200"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>
        <v>0</v>
      </c>
      <c r="F60" s="259">
        <f>+E60</f>
        <v>0</v>
      </c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38488.311934403479</v>
      </c>
      <c r="F61" s="202">
        <f>F22+F51+F52+F54+F57+F58</f>
        <v>19612.011411966392</v>
      </c>
      <c r="G61" s="202">
        <f>G22+G51+G52+G54+G57+G58</f>
        <v>58100.323346369871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v>0</v>
      </c>
      <c r="F62" s="203">
        <v>0</v>
      </c>
      <c r="G62" s="204">
        <f t="shared" si="4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v>0</v>
      </c>
      <c r="F63" s="205">
        <v>0</v>
      </c>
      <c r="G63" s="206">
        <f>E63+F63</f>
        <v>0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>
        <f>E56</f>
        <v>1</v>
      </c>
      <c r="F64" s="260">
        <f>F56</f>
        <v>1</v>
      </c>
      <c r="G64" s="261">
        <f>G56</f>
        <v>1</v>
      </c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v>0</v>
      </c>
      <c r="F65" s="193">
        <v>0</v>
      </c>
      <c r="G65" s="197">
        <f>E65+F65</f>
        <v>0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v>0</v>
      </c>
      <c r="F66" s="198"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v>0</v>
      </c>
      <c r="F67" s="200"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>
        <f>E60</f>
        <v>0</v>
      </c>
      <c r="F68" s="263">
        <f>F60</f>
        <v>0</v>
      </c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19079.757060567274</v>
      </c>
      <c r="F69" s="208">
        <f>F45+F62+F65+F66</f>
        <v>2880.9028649080205</v>
      </c>
      <c r="G69" s="209">
        <f>G45+G62+G65+G66</f>
        <v>21960.659925475295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57568.068994970752</v>
      </c>
      <c r="F70" s="173">
        <f>F61+F69-F46</f>
        <v>22492.914276874413</v>
      </c>
      <c r="G70" s="173">
        <f>G61+G69-G46</f>
        <v>80060.983271845165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>
        <v>0.50990000000000002</v>
      </c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>
        <v>141128</v>
      </c>
      <c r="F74" s="212"/>
      <c r="G74" s="213">
        <f>E74+F74</f>
        <v>141128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>
        <v>45.041458817527356</v>
      </c>
      <c r="F75" s="265">
        <f>+E75</f>
        <v>45.041458817527356</v>
      </c>
      <c r="G75" s="266">
        <f>E75</f>
        <v>45.041458817527356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>
        <v>33.21</v>
      </c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>
        <v>0</v>
      </c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>
        <v>-0.20699999999999999</v>
      </c>
      <c r="F80" s="270">
        <f>+E80</f>
        <v>-0.20699999999999999</v>
      </c>
      <c r="G80" s="271">
        <f>+F80</f>
        <v>-0.20699999999999999</v>
      </c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>
        <v>-0.113</v>
      </c>
      <c r="F81" s="273">
        <f t="shared" ref="F81:G82" si="5">+E81</f>
        <v>-0.113</v>
      </c>
      <c r="G81" s="274">
        <f t="shared" si="5"/>
        <v>-0.113</v>
      </c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>
        <v>-0.03</v>
      </c>
      <c r="F82" s="273">
        <f t="shared" si="5"/>
        <v>-0.03</v>
      </c>
      <c r="G82" s="274">
        <f t="shared" si="5"/>
        <v>-0.03</v>
      </c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-0.35</v>
      </c>
      <c r="F83" s="276">
        <f>SUM(F80:F82)</f>
        <v>-0.35</v>
      </c>
      <c r="G83" s="276">
        <f>SUM(G80:G82)</f>
        <v>-0.35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0.65</v>
      </c>
      <c r="F84" s="278">
        <f>1+F83</f>
        <v>0.65</v>
      </c>
      <c r="G84" s="278">
        <f>1+G83</f>
        <v>0.65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>
        <v>1E-3</v>
      </c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>
        <v>0</v>
      </c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>
        <v>0</v>
      </c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>
        <v>0</v>
      </c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1.6E-2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1.016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80060.983271845165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v>49275.992079279786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+G97-G95</f>
        <v>11026.560014780851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v>60302.552094060637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1.3276549746512403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IF(G94&lt;=G97*G93,G94,G97*G93)</f>
        <v>61267.392927565605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IF(G98&lt;=G93,0,G94-G100)</f>
        <v>18793.590344279561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>
        <v>0</v>
      </c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>
        <v>0</v>
      </c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>
        <v>0</v>
      </c>
      <c r="F107" s="203">
        <v>0</v>
      </c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6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0</v>
      </c>
      <c r="F111" s="227">
        <f>F112+F113</f>
        <v>0</v>
      </c>
      <c r="G111" s="228">
        <f t="shared" si="6"/>
        <v>0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0</v>
      </c>
      <c r="F112" s="229">
        <f>F120*F20</f>
        <v>0</v>
      </c>
      <c r="G112" s="230">
        <f t="shared" si="6"/>
        <v>0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0</v>
      </c>
      <c r="F113" s="231">
        <f>F120*F43</f>
        <v>0</v>
      </c>
      <c r="G113" s="232">
        <f t="shared" si="6"/>
        <v>0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-5528.5431668394585</v>
      </c>
      <c r="F119" s="237">
        <f>F17+F40</f>
        <v>3947.3197780037217</v>
      </c>
      <c r="G119" s="238">
        <f>E119+F119</f>
        <v>-1581.2233888357368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0</v>
      </c>
      <c r="F120" s="240">
        <f>MAX(0,F19-1)</f>
        <v>0</v>
      </c>
      <c r="G120" s="241">
        <f>MAX(0,G19-1)</f>
        <v>0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27">
    <pageSetUpPr fitToPage="1"/>
  </sheetPr>
  <dimension ref="A1:AL254"/>
  <sheetViews>
    <sheetView zoomScaleNormal="100" workbookViewId="0">
      <pane xSplit="4" ySplit="5" topLeftCell="E98" activePane="bottomRight" state="frozen"/>
      <selection activeCell="N110" sqref="N110"/>
      <selection pane="topRight" activeCell="N110" sqref="N110"/>
      <selection pane="bottomLeft" activeCell="N110" sqref="N110"/>
      <selection pane="bottomRight" activeCell="N110" sqref="N110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29.664062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1.5" thickBot="1" x14ac:dyDescent="0.4">
      <c r="A4" s="1"/>
      <c r="B4" s="46"/>
      <c r="C4" s="3" t="s">
        <v>0</v>
      </c>
      <c r="D4" s="4"/>
      <c r="E4" s="294" t="s">
        <v>163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v>60232.587334919983</v>
      </c>
      <c r="F6" s="23">
        <v>0</v>
      </c>
      <c r="G6" s="170">
        <f>E6+F6</f>
        <v>60232.587334919983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v>0</v>
      </c>
      <c r="F7" s="23">
        <v>66430.385581559996</v>
      </c>
      <c r="G7" s="170">
        <f t="shared" ref="G7:G17" si="0">E7+F7</f>
        <v>66430.385581559996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v>0</v>
      </c>
      <c r="F8" s="23">
        <v>57142.431986639982</v>
      </c>
      <c r="G8" s="170">
        <f t="shared" si="0"/>
        <v>57142.431986639982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v>234935.47953875992</v>
      </c>
      <c r="F9" s="23">
        <v>0</v>
      </c>
      <c r="G9" s="170">
        <f t="shared" si="0"/>
        <v>234935.47953875992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v>0</v>
      </c>
      <c r="F10" s="23"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v>192.60593351999995</v>
      </c>
      <c r="F11" s="23">
        <v>0</v>
      </c>
      <c r="G11" s="170">
        <f t="shared" si="0"/>
        <v>192.60593351999995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>
        <v>0.6</v>
      </c>
      <c r="F12" s="253">
        <f>+E12</f>
        <v>0.6</v>
      </c>
      <c r="G12" s="243">
        <f>E12</f>
        <v>0.6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E12*E11</f>
        <v>115.56356011199996</v>
      </c>
      <c r="F13" s="171">
        <f>F12*F11</f>
        <v>0</v>
      </c>
      <c r="G13" s="170">
        <f t="shared" si="0"/>
        <v>115.56356011199996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v>0</v>
      </c>
      <c r="F14" s="23">
        <v>48247.624424999987</v>
      </c>
      <c r="G14" s="170">
        <f t="shared" si="0"/>
        <v>48247.624424999987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>
        <v>0.72599999999999998</v>
      </c>
      <c r="F15" s="253">
        <f>+E15</f>
        <v>0.72599999999999998</v>
      </c>
      <c r="G15" s="243">
        <f>E15</f>
        <v>0.72599999999999998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E15*E14</f>
        <v>0</v>
      </c>
      <c r="F16" s="171">
        <f>F15*F14</f>
        <v>35027.775332549987</v>
      </c>
      <c r="G16" s="170">
        <f t="shared" si="0"/>
        <v>35027.775332549987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v>-55649.43518464308</v>
      </c>
      <c r="F17" s="23">
        <v>88242.923726585344</v>
      </c>
      <c r="G17" s="170">
        <f t="shared" si="0"/>
        <v>32593.488541942264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>
        <v>0.65</v>
      </c>
      <c r="F18" s="253">
        <f>+E18</f>
        <v>0.65</v>
      </c>
      <c r="G18" s="243">
        <f>F18</f>
        <v>0.65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>
        <v>2</v>
      </c>
      <c r="F19" s="254">
        <f>+E19</f>
        <v>2</v>
      </c>
      <c r="G19" s="245">
        <f>E19</f>
        <v>2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E18*E17/E19</f>
        <v>-18086.066435009001</v>
      </c>
      <c r="F20" s="171">
        <f>F18*F17/F19</f>
        <v>28678.950211140236</v>
      </c>
      <c r="G20" s="170">
        <f>E20+F20</f>
        <v>10592.883776131235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v>57475.543503377972</v>
      </c>
      <c r="G21" s="170">
        <f>F21</f>
        <v>57475.543503377972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276966.43687855889</v>
      </c>
      <c r="F22" s="173">
        <f>F6+F7+F8+F9+F10-F13-F16+F20+F21</f>
        <v>174699.53595016818</v>
      </c>
      <c r="G22" s="173">
        <f>E22+F22</f>
        <v>451665.9728287271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v>31737.292406819994</v>
      </c>
      <c r="F24" s="23">
        <v>0</v>
      </c>
      <c r="G24" s="174">
        <f t="shared" ref="G24:G40" si="1">E24+F24</f>
        <v>31737.292406819994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v>26199.284851739994</v>
      </c>
      <c r="F25" s="176">
        <v>0</v>
      </c>
      <c r="G25" s="177">
        <f t="shared" si="1"/>
        <v>26199.284851739994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v>108906.86547740997</v>
      </c>
      <c r="F26" s="179">
        <v>5121.1804643999985</v>
      </c>
      <c r="G26" s="180">
        <f t="shared" si="1"/>
        <v>114028.04594180996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v>0</v>
      </c>
      <c r="F27" s="179">
        <v>0</v>
      </c>
      <c r="G27" s="180">
        <f t="shared" si="1"/>
        <v>0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v>0</v>
      </c>
      <c r="F28" s="179">
        <v>0</v>
      </c>
      <c r="G28" s="180">
        <f t="shared" si="1"/>
        <v>0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135106.15032914997</v>
      </c>
      <c r="F29" s="182">
        <f>SUM(F25:F28)</f>
        <v>5121.1804643999985</v>
      </c>
      <c r="G29" s="183">
        <f t="shared" si="1"/>
        <v>140227.33079354998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v>39605.415933374112</v>
      </c>
      <c r="F30" s="179">
        <v>0</v>
      </c>
      <c r="G30" s="180">
        <f t="shared" si="1"/>
        <v>39605.415933374112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25300.274999999994</v>
      </c>
      <c r="G31" s="180">
        <f t="shared" si="1"/>
        <v>25300.274999999994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v>0</v>
      </c>
      <c r="F32" s="179"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v>0</v>
      </c>
      <c r="F33" s="179">
        <v>25300.274999999994</v>
      </c>
      <c r="G33" s="180">
        <f>E33+F33</f>
        <v>25300.274999999994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v>0</v>
      </c>
      <c r="F34" s="179"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v>0</v>
      </c>
      <c r="F35" s="179"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v>24923.847166717685</v>
      </c>
      <c r="F36" s="179">
        <v>0</v>
      </c>
      <c r="G36" s="180">
        <f t="shared" si="1"/>
        <v>24923.847166717685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v>0</v>
      </c>
      <c r="F37" s="179"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64529.263100091797</v>
      </c>
      <c r="F38" s="182">
        <f>F37+F36+F31+F30</f>
        <v>25300.274999999994</v>
      </c>
      <c r="G38" s="183">
        <f t="shared" si="1"/>
        <v>89829.538100091799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v>0</v>
      </c>
      <c r="F39" s="23"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v>-85821.127774024149</v>
      </c>
      <c r="F40" s="23">
        <v>28630.748529564269</v>
      </c>
      <c r="G40" s="177">
        <f t="shared" si="1"/>
        <v>-57190.37924445988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>
        <f>E18</f>
        <v>0.65</v>
      </c>
      <c r="F41" s="283">
        <f t="shared" ref="F41:G41" si="2">F18</f>
        <v>0.65</v>
      </c>
      <c r="G41" s="249">
        <f t="shared" si="2"/>
        <v>0.65</v>
      </c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>
        <f>E19</f>
        <v>2</v>
      </c>
      <c r="F42" s="247">
        <f>F19</f>
        <v>2</v>
      </c>
      <c r="G42" s="248">
        <f>G19</f>
        <v>2</v>
      </c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E41*E40/E42</f>
        <v>-27891.866526557849</v>
      </c>
      <c r="F43" s="188">
        <f>F41*F40/F42</f>
        <v>9304.9932721083878</v>
      </c>
      <c r="G43" s="189">
        <f t="shared" ref="G43:G47" si="3">E43+F43</f>
        <v>-18586.873254449463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v>7175.2187106600031</v>
      </c>
      <c r="G44" s="177">
        <f>F44</f>
        <v>7175.2187106600031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203480.83930950391</v>
      </c>
      <c r="F45" s="192">
        <f>F24+F29+F38+F39+F43+F44</f>
        <v>46901.667447168387</v>
      </c>
      <c r="G45" s="192">
        <f>E45+F45</f>
        <v>250382.50675667229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v>0</v>
      </c>
      <c r="F46" s="23">
        <v>0</v>
      </c>
      <c r="G46" s="177">
        <f t="shared" si="3"/>
        <v>0</v>
      </c>
      <c r="H46" s="56"/>
      <c r="I46" s="1"/>
      <c r="L46" s="1"/>
      <c r="M46" s="1"/>
      <c r="N46" s="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480447.27618806279</v>
      </c>
      <c r="F47" s="192">
        <f>F22+F45-F46</f>
        <v>221601.20339733656</v>
      </c>
      <c r="G47" s="192">
        <f t="shared" si="3"/>
        <v>702048.47958539939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v>0</v>
      </c>
      <c r="F48" s="194">
        <v>106020.21542111998</v>
      </c>
      <c r="G48" s="195">
        <f>E48+F48</f>
        <v>106020.21542111998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v>0</v>
      </c>
      <c r="F51" s="196">
        <v>0</v>
      </c>
      <c r="G51" s="174">
        <f t="shared" ref="G51:G62" si="4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v>0</v>
      </c>
      <c r="F52" s="175">
        <v>0</v>
      </c>
      <c r="G52" s="177">
        <f t="shared" si="4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>
        <v>1</v>
      </c>
      <c r="F53" s="252">
        <f>+E53</f>
        <v>1</v>
      </c>
      <c r="G53" s="251">
        <f>E53</f>
        <v>1</v>
      </c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v>0</v>
      </c>
      <c r="F54" s="193"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v>0</v>
      </c>
      <c r="F55" s="198">
        <v>0</v>
      </c>
      <c r="G55" s="199">
        <f>E55+F55</f>
        <v>0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>
        <v>1</v>
      </c>
      <c r="F56" s="256">
        <f>+E56</f>
        <v>1</v>
      </c>
      <c r="G56" s="245">
        <f>F56</f>
        <v>1</v>
      </c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v>0</v>
      </c>
      <c r="F57" s="193">
        <v>0</v>
      </c>
      <c r="G57" s="197">
        <f>E57+F57</f>
        <v>0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v>0</v>
      </c>
      <c r="F58" s="198"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v>0</v>
      </c>
      <c r="F59" s="200"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>
        <v>0</v>
      </c>
      <c r="F60" s="259">
        <f>+E60</f>
        <v>0</v>
      </c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276966.43687855889</v>
      </c>
      <c r="F61" s="202">
        <f>F22+F51+F52+F54+F57+F58</f>
        <v>174699.53595016818</v>
      </c>
      <c r="G61" s="202">
        <f>G22+G51+G52+G54+G57+G58</f>
        <v>451665.9728287271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v>0</v>
      </c>
      <c r="F62" s="203">
        <v>0</v>
      </c>
      <c r="G62" s="204">
        <f t="shared" si="4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v>0</v>
      </c>
      <c r="F63" s="205">
        <v>0</v>
      </c>
      <c r="G63" s="206">
        <f>E63+F63</f>
        <v>0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>
        <f>E56</f>
        <v>1</v>
      </c>
      <c r="F64" s="260">
        <f>F56</f>
        <v>1</v>
      </c>
      <c r="G64" s="261">
        <f>G56</f>
        <v>1</v>
      </c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v>0</v>
      </c>
      <c r="F65" s="193">
        <v>0</v>
      </c>
      <c r="G65" s="197">
        <f>E65+F65</f>
        <v>0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v>0</v>
      </c>
      <c r="F66" s="198"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v>0</v>
      </c>
      <c r="F67" s="200"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>
        <f>E60</f>
        <v>0</v>
      </c>
      <c r="F68" s="263">
        <f>F60</f>
        <v>0</v>
      </c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203480.83930950391</v>
      </c>
      <c r="F69" s="208">
        <f>F45+F62+F65+F66</f>
        <v>46901.667447168387</v>
      </c>
      <c r="G69" s="209">
        <f>G45+G62+G65+G66</f>
        <v>250382.50675667229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480447.27618806279</v>
      </c>
      <c r="F70" s="173">
        <f>F61+F69-F46</f>
        <v>221601.20339733656</v>
      </c>
      <c r="G70" s="173">
        <f>G61+G69-G46</f>
        <v>702048.47958539939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>
        <v>0.76139999999999997</v>
      </c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>
        <v>1651606</v>
      </c>
      <c r="F74" s="212"/>
      <c r="G74" s="213">
        <f>E74+F74</f>
        <v>1651606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>
        <v>41.961656714737053</v>
      </c>
      <c r="F75" s="265">
        <f>+E75</f>
        <v>41.961656714737053</v>
      </c>
      <c r="G75" s="266">
        <f>E75</f>
        <v>41.961656714737053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>
        <v>29.5</v>
      </c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>
        <v>0</v>
      </c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>
        <v>-0.20699999999999999</v>
      </c>
      <c r="F80" s="270">
        <f>+E80</f>
        <v>-0.20699999999999999</v>
      </c>
      <c r="G80" s="271">
        <f>+F80</f>
        <v>-0.20699999999999999</v>
      </c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>
        <v>-0.113</v>
      </c>
      <c r="F81" s="273">
        <f t="shared" ref="F81:G82" si="5">+E81</f>
        <v>-0.113</v>
      </c>
      <c r="G81" s="274">
        <f t="shared" si="5"/>
        <v>-0.113</v>
      </c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>
        <v>-0.03</v>
      </c>
      <c r="F82" s="273">
        <f t="shared" si="5"/>
        <v>-0.03</v>
      </c>
      <c r="G82" s="274">
        <f t="shared" si="5"/>
        <v>-0.03</v>
      </c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-0.35</v>
      </c>
      <c r="F83" s="276">
        <f>SUM(F80:F82)</f>
        <v>-0.35</v>
      </c>
      <c r="G83" s="276">
        <f>SUM(G80:G82)</f>
        <v>-0.35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0.65</v>
      </c>
      <c r="F84" s="278">
        <f>1+F83</f>
        <v>0.65</v>
      </c>
      <c r="G84" s="278">
        <f>1+G83</f>
        <v>0.65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>
        <v>1E-3</v>
      </c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>
        <v>0</v>
      </c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>
        <v>0</v>
      </c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>
        <v>0</v>
      </c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1.6E-2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1.016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702048.47958539939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v>403964.1620520663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+G97-G95</f>
        <v>311521.8405588771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v>715486.0026109434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0.98121902737928068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IF(G94&lt;=G97*G93,G94,G97*G93)</f>
        <v>702048.47958539939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IF(G98&lt;=G93,0,G94-G100)</f>
        <v>0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>
        <v>0</v>
      </c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>
        <v>0</v>
      </c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>
        <v>0</v>
      </c>
      <c r="F107" s="203">
        <v>0</v>
      </c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6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-45977.932961566854</v>
      </c>
      <c r="F111" s="227">
        <f>F112+F113</f>
        <v>37983.943483248622</v>
      </c>
      <c r="G111" s="228">
        <f t="shared" si="6"/>
        <v>-7993.9894783182317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-18086.066435009001</v>
      </c>
      <c r="F112" s="229">
        <f>F120*F20</f>
        <v>28678.950211140236</v>
      </c>
      <c r="G112" s="230">
        <f t="shared" si="6"/>
        <v>10592.883776131235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-27891.866526557849</v>
      </c>
      <c r="F113" s="231">
        <f>F120*F43</f>
        <v>9304.9932721083878</v>
      </c>
      <c r="G113" s="232">
        <f t="shared" si="6"/>
        <v>-18586.873254449463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-141470.56295866723</v>
      </c>
      <c r="F119" s="237">
        <f>F17+F40</f>
        <v>116873.67225614961</v>
      </c>
      <c r="G119" s="238">
        <f>E119+F119</f>
        <v>-24596.890702517616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1</v>
      </c>
      <c r="F120" s="240">
        <f>MAX(0,F19-1)</f>
        <v>1</v>
      </c>
      <c r="G120" s="241">
        <f>MAX(0,G19-1)</f>
        <v>1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26">
    <pageSetUpPr fitToPage="1"/>
  </sheetPr>
  <dimension ref="A1:AL254"/>
  <sheetViews>
    <sheetView zoomScaleNormal="100" workbookViewId="0">
      <pane xSplit="4" ySplit="5" topLeftCell="E98" activePane="bottomRight" state="frozen"/>
      <selection activeCell="N110" sqref="N110"/>
      <selection pane="topRight" activeCell="N110" sqref="N110"/>
      <selection pane="bottomLeft" activeCell="N110" sqref="N110"/>
      <selection pane="bottomRight" activeCell="N110" sqref="N110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29.664062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1.5" thickBot="1" x14ac:dyDescent="0.4">
      <c r="A4" s="1"/>
      <c r="B4" s="46"/>
      <c r="C4" s="3" t="s">
        <v>0</v>
      </c>
      <c r="D4" s="4"/>
      <c r="E4" s="294" t="s">
        <v>162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v>27675.049892489998</v>
      </c>
      <c r="F6" s="23">
        <v>0</v>
      </c>
      <c r="G6" s="170">
        <f>E6+F6</f>
        <v>27675.049892489998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v>0</v>
      </c>
      <c r="F7" s="23">
        <v>32616.500838479704</v>
      </c>
      <c r="G7" s="170">
        <f t="shared" ref="G7:G17" si="0">E7+F7</f>
        <v>32616.500838479704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v>0</v>
      </c>
      <c r="F8" s="23">
        <v>32947.208642790298</v>
      </c>
      <c r="G8" s="170">
        <f t="shared" si="0"/>
        <v>32947.208642790298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v>150028.57636766997</v>
      </c>
      <c r="F9" s="23">
        <v>0</v>
      </c>
      <c r="G9" s="170">
        <f t="shared" si="0"/>
        <v>150028.57636766997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v>0</v>
      </c>
      <c r="F10" s="23"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v>667.62365669999986</v>
      </c>
      <c r="F11" s="23">
        <v>0</v>
      </c>
      <c r="G11" s="170">
        <f t="shared" si="0"/>
        <v>667.62365669999986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>
        <v>0.6</v>
      </c>
      <c r="F12" s="253">
        <f>+E12</f>
        <v>0.6</v>
      </c>
      <c r="G12" s="243">
        <f>E12</f>
        <v>0.6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E12*E11</f>
        <v>400.57419401999988</v>
      </c>
      <c r="F13" s="171">
        <f>F12*F11</f>
        <v>0</v>
      </c>
      <c r="G13" s="170">
        <f t="shared" si="0"/>
        <v>400.57419401999988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v>0</v>
      </c>
      <c r="F14" s="23">
        <v>21395.116833089993</v>
      </c>
      <c r="G14" s="170">
        <f t="shared" si="0"/>
        <v>21395.116833089993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>
        <v>0.72599999999999998</v>
      </c>
      <c r="F15" s="253">
        <f>+E15</f>
        <v>0.72599999999999998</v>
      </c>
      <c r="G15" s="243">
        <f>E15</f>
        <v>0.72599999999999998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E15*E14</f>
        <v>0</v>
      </c>
      <c r="F16" s="171">
        <f>F15*F14</f>
        <v>15532.854820823335</v>
      </c>
      <c r="G16" s="170">
        <f t="shared" si="0"/>
        <v>15532.854820823335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v>-26454.635066138057</v>
      </c>
      <c r="F17" s="23">
        <v>46591.433554936957</v>
      </c>
      <c r="G17" s="170">
        <f t="shared" si="0"/>
        <v>20136.798488798901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>
        <v>0.65</v>
      </c>
      <c r="F18" s="253">
        <f>+E18</f>
        <v>0.65</v>
      </c>
      <c r="G18" s="243">
        <f>F18</f>
        <v>0.65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>
        <v>1</v>
      </c>
      <c r="F19" s="254">
        <f>+E19</f>
        <v>1</v>
      </c>
      <c r="G19" s="245">
        <f>E19</f>
        <v>1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E18*E17/E19</f>
        <v>-17195.512792989739</v>
      </c>
      <c r="F20" s="171">
        <f>F18*F17/F19</f>
        <v>30284.431810709022</v>
      </c>
      <c r="G20" s="170">
        <f>E20+F20</f>
        <v>13088.919017719283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v>30880.840074979074</v>
      </c>
      <c r="G21" s="170">
        <f>F21</f>
        <v>30880.840074979074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160107.53927315024</v>
      </c>
      <c r="F22" s="173">
        <f>F6+F7+F8+F9+F10-F13-F16+F20+F21</f>
        <v>111196.12654613475</v>
      </c>
      <c r="G22" s="173">
        <f>E22+F22</f>
        <v>271303.66581928497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v>19640.148077549995</v>
      </c>
      <c r="F24" s="23">
        <v>0</v>
      </c>
      <c r="G24" s="174">
        <f t="shared" ref="G24:G40" si="1">E24+F24</f>
        <v>19640.148077549995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v>0</v>
      </c>
      <c r="F25" s="176">
        <v>13833.613523729997</v>
      </c>
      <c r="G25" s="177">
        <f t="shared" si="1"/>
        <v>13833.613523729997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v>35222.152285319993</v>
      </c>
      <c r="F26" s="179">
        <v>32217.370184999992</v>
      </c>
      <c r="G26" s="180">
        <f t="shared" si="1"/>
        <v>67439.522470319993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v>0</v>
      </c>
      <c r="F27" s="179">
        <v>5060.0549999999985</v>
      </c>
      <c r="G27" s="180">
        <f t="shared" si="1"/>
        <v>5060.0549999999985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v>0</v>
      </c>
      <c r="F28" s="179">
        <v>0</v>
      </c>
      <c r="G28" s="180">
        <f t="shared" si="1"/>
        <v>0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35222.152285319993</v>
      </c>
      <c r="F29" s="182">
        <f>SUM(F25:F28)</f>
        <v>51111.03870872999</v>
      </c>
      <c r="G29" s="183">
        <f t="shared" si="1"/>
        <v>86333.190994049975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v>24166.1743836614</v>
      </c>
      <c r="F30" s="179">
        <v>1701.44</v>
      </c>
      <c r="G30" s="180">
        <f t="shared" si="1"/>
        <v>25867.614383661399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15485.352097214996</v>
      </c>
      <c r="G31" s="180">
        <f t="shared" si="1"/>
        <v>15485.352097214996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v>0</v>
      </c>
      <c r="F32" s="179"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v>0</v>
      </c>
      <c r="F33" s="179">
        <v>15485.352097214996</v>
      </c>
      <c r="G33" s="180">
        <f>E33+F33</f>
        <v>15485.352097214996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v>0</v>
      </c>
      <c r="F34" s="179"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v>0</v>
      </c>
      <c r="F35" s="179"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v>13143.498826058571</v>
      </c>
      <c r="F36" s="179">
        <v>0</v>
      </c>
      <c r="G36" s="180">
        <f t="shared" si="1"/>
        <v>13143.498826058571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v>0</v>
      </c>
      <c r="F37" s="179"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37309.673209719971</v>
      </c>
      <c r="F38" s="182">
        <f>F37+F36+F31+F30</f>
        <v>17186.792097214995</v>
      </c>
      <c r="G38" s="183">
        <f t="shared" si="1"/>
        <v>54496.465306934966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v>0</v>
      </c>
      <c r="F39" s="23"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v>-18569.026018685297</v>
      </c>
      <c r="F40" s="23">
        <v>-13331.175807419539</v>
      </c>
      <c r="G40" s="177">
        <f t="shared" si="1"/>
        <v>-31900.201826104836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>
        <f>E18</f>
        <v>0.65</v>
      </c>
      <c r="F41" s="283">
        <f t="shared" ref="F41:G41" si="2">F18</f>
        <v>0.65</v>
      </c>
      <c r="G41" s="249">
        <f t="shared" si="2"/>
        <v>0.65</v>
      </c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>
        <f>E19</f>
        <v>1</v>
      </c>
      <c r="F42" s="247">
        <f>F19</f>
        <v>1</v>
      </c>
      <c r="G42" s="248">
        <f>G19</f>
        <v>1</v>
      </c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E41*E40/E42</f>
        <v>-12069.866912145444</v>
      </c>
      <c r="F43" s="188">
        <f>F41*F40/F42</f>
        <v>-8665.2642748227008</v>
      </c>
      <c r="G43" s="189">
        <f t="shared" ref="G43:G47" si="3">E43+F43</f>
        <v>-20735.131186968145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v>213.77315559600007</v>
      </c>
      <c r="G44" s="177">
        <f>F44</f>
        <v>213.77315559600007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80102.106660444508</v>
      </c>
      <c r="F45" s="192">
        <f>F24+F29+F38+F39+F43+F44</f>
        <v>59846.339686718275</v>
      </c>
      <c r="G45" s="192">
        <f>E45+F45</f>
        <v>139948.44634716277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v>0</v>
      </c>
      <c r="F46" s="23">
        <v>0</v>
      </c>
      <c r="G46" s="177">
        <f t="shared" si="3"/>
        <v>0</v>
      </c>
      <c r="H46" s="56"/>
      <c r="I46" s="1"/>
      <c r="L46" s="1"/>
      <c r="M46" s="1"/>
      <c r="N46" s="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240209.64593359473</v>
      </c>
      <c r="F47" s="192">
        <f>F22+F45-F46</f>
        <v>171042.46623285301</v>
      </c>
      <c r="G47" s="192">
        <f t="shared" si="3"/>
        <v>411252.11216644774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v>0</v>
      </c>
      <c r="F48" s="194">
        <v>5557.3369651799985</v>
      </c>
      <c r="G48" s="195">
        <f>E48+F48</f>
        <v>5557.3369651799985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v>0</v>
      </c>
      <c r="F51" s="196">
        <v>0</v>
      </c>
      <c r="G51" s="174">
        <f t="shared" ref="G51:G62" si="4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v>0</v>
      </c>
      <c r="F52" s="175">
        <v>0</v>
      </c>
      <c r="G52" s="177">
        <f t="shared" si="4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>
        <v>1</v>
      </c>
      <c r="F53" s="252">
        <f>+E53</f>
        <v>1</v>
      </c>
      <c r="G53" s="251">
        <f>E53</f>
        <v>1</v>
      </c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v>0</v>
      </c>
      <c r="F54" s="193"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v>0</v>
      </c>
      <c r="F55" s="198">
        <v>0</v>
      </c>
      <c r="G55" s="199">
        <f>E55+F55</f>
        <v>0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>
        <v>1</v>
      </c>
      <c r="F56" s="256">
        <f>+E56</f>
        <v>1</v>
      </c>
      <c r="G56" s="245">
        <f>F56</f>
        <v>1</v>
      </c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v>0</v>
      </c>
      <c r="F57" s="193">
        <v>0</v>
      </c>
      <c r="G57" s="197">
        <f>E57+F57</f>
        <v>0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v>0</v>
      </c>
      <c r="F58" s="198"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v>0</v>
      </c>
      <c r="F59" s="200"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>
        <v>0</v>
      </c>
      <c r="F60" s="259">
        <f>+E60</f>
        <v>0</v>
      </c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160107.53927315024</v>
      </c>
      <c r="F61" s="202">
        <f>F22+F51+F52+F54+F57+F58</f>
        <v>111196.12654613475</v>
      </c>
      <c r="G61" s="202">
        <f>G22+G51+G52+G54+G57+G58</f>
        <v>271303.66581928497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v>0</v>
      </c>
      <c r="F62" s="203">
        <v>0</v>
      </c>
      <c r="G62" s="204">
        <f t="shared" si="4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v>0</v>
      </c>
      <c r="F63" s="205">
        <v>0</v>
      </c>
      <c r="G63" s="206">
        <f>E63+F63</f>
        <v>0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>
        <f>E56</f>
        <v>1</v>
      </c>
      <c r="F64" s="260">
        <f>F56</f>
        <v>1</v>
      </c>
      <c r="G64" s="261">
        <f>G56</f>
        <v>1</v>
      </c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v>0</v>
      </c>
      <c r="F65" s="193">
        <v>0</v>
      </c>
      <c r="G65" s="197">
        <f>E65+F65</f>
        <v>0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v>0</v>
      </c>
      <c r="F66" s="198"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v>0</v>
      </c>
      <c r="F67" s="200"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>
        <f>E60</f>
        <v>0</v>
      </c>
      <c r="F68" s="263">
        <f>F60</f>
        <v>0</v>
      </c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80102.106660444508</v>
      </c>
      <c r="F69" s="208">
        <f>F45+F62+F65+F66</f>
        <v>59846.339686718275</v>
      </c>
      <c r="G69" s="209">
        <f>G45+G62+G65+G66</f>
        <v>139948.44634716277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240209.64593359473</v>
      </c>
      <c r="F70" s="173">
        <f>F61+F69-F46</f>
        <v>171042.46623285301</v>
      </c>
      <c r="G70" s="173">
        <f>G61+G69-G46</f>
        <v>411252.11216644774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>
        <v>0.75419999999999998</v>
      </c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>
        <v>862815</v>
      </c>
      <c r="F74" s="212"/>
      <c r="G74" s="213">
        <f>E74+F74</f>
        <v>862815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>
        <v>43.494805954926612</v>
      </c>
      <c r="F75" s="265">
        <f>+E75</f>
        <v>43.494805954926612</v>
      </c>
      <c r="G75" s="266">
        <f>E75</f>
        <v>43.494805954926612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>
        <v>43.462000000000003</v>
      </c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>
        <v>0</v>
      </c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>
        <v>-0.20699999999999999</v>
      </c>
      <c r="F80" s="270">
        <f>+E80</f>
        <v>-0.20699999999999999</v>
      </c>
      <c r="G80" s="271">
        <f>+F80</f>
        <v>-0.20699999999999999</v>
      </c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>
        <v>-0.113</v>
      </c>
      <c r="F81" s="273">
        <f t="shared" ref="F81:G82" si="5">+E81</f>
        <v>-0.113</v>
      </c>
      <c r="G81" s="274">
        <f t="shared" si="5"/>
        <v>-0.113</v>
      </c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>
        <v>-0.03</v>
      </c>
      <c r="F82" s="273">
        <f t="shared" si="5"/>
        <v>-0.03</v>
      </c>
      <c r="G82" s="274">
        <f t="shared" si="5"/>
        <v>-0.03</v>
      </c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-0.35</v>
      </c>
      <c r="F83" s="276">
        <f>SUM(F80:F82)</f>
        <v>-0.35</v>
      </c>
      <c r="G83" s="276">
        <f>SUM(G80:G82)</f>
        <v>-0.35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0.65</v>
      </c>
      <c r="F84" s="278">
        <f>1+F83</f>
        <v>0.65</v>
      </c>
      <c r="G84" s="278">
        <f>1+G83</f>
        <v>0.65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>
        <v>1E-3</v>
      </c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>
        <v>0</v>
      </c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>
        <v>0</v>
      </c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>
        <v>0</v>
      </c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1.6E-2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1.016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411252.11216644774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v>252200.9580791746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+G97-G95</f>
        <v>128799.0419208254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v>381000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1.079401869203275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IF(G94&lt;=G97*G93,G94,G97*G93)</f>
        <v>387096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IF(G98&lt;=G93,0,G94-G100)</f>
        <v>24156.11216644774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>
        <v>0</v>
      </c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>
        <v>0</v>
      </c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>
        <v>0</v>
      </c>
      <c r="F107" s="203">
        <v>0</v>
      </c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6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0</v>
      </c>
      <c r="F111" s="227">
        <f>F112+F113</f>
        <v>0</v>
      </c>
      <c r="G111" s="228">
        <f t="shared" si="6"/>
        <v>0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0</v>
      </c>
      <c r="F112" s="229">
        <f>F120*F20</f>
        <v>0</v>
      </c>
      <c r="G112" s="230">
        <f t="shared" si="6"/>
        <v>0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0</v>
      </c>
      <c r="F113" s="231">
        <f>F120*F43</f>
        <v>0</v>
      </c>
      <c r="G113" s="232">
        <f t="shared" si="6"/>
        <v>0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-45023.661084823354</v>
      </c>
      <c r="F119" s="237">
        <f>F17+F40</f>
        <v>33260.257747517418</v>
      </c>
      <c r="G119" s="238">
        <f>E119+F119</f>
        <v>-11763.403337305936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0</v>
      </c>
      <c r="F120" s="240">
        <f>MAX(0,F19-1)</f>
        <v>0</v>
      </c>
      <c r="G120" s="241">
        <f>MAX(0,G19-1)</f>
        <v>0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25">
    <pageSetUpPr fitToPage="1"/>
  </sheetPr>
  <dimension ref="A1:AL254"/>
  <sheetViews>
    <sheetView zoomScaleNormal="100" workbookViewId="0">
      <pane xSplit="4" ySplit="5" topLeftCell="E98" activePane="bottomRight" state="frozen"/>
      <selection activeCell="N110" sqref="N110"/>
      <selection pane="topRight" activeCell="N110" sqref="N110"/>
      <selection pane="bottomLeft" activeCell="N110" sqref="N110"/>
      <selection pane="bottomRight" activeCell="N110" sqref="N110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29.664062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1.5" thickBot="1" x14ac:dyDescent="0.4">
      <c r="A4" s="1"/>
      <c r="B4" s="46"/>
      <c r="C4" s="3" t="s">
        <v>0</v>
      </c>
      <c r="D4" s="4"/>
      <c r="E4" s="294" t="s">
        <v>161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v>24034.168278119992</v>
      </c>
      <c r="F6" s="23">
        <v>0</v>
      </c>
      <c r="G6" s="170">
        <f>E6+F6</f>
        <v>24034.168278119992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v>0</v>
      </c>
      <c r="F7" s="23">
        <v>66147.235023869987</v>
      </c>
      <c r="G7" s="170">
        <f t="shared" ref="G7:G17" si="0">E7+F7</f>
        <v>66147.235023869987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v>0</v>
      </c>
      <c r="F8" s="23">
        <v>85632.322776000001</v>
      </c>
      <c r="G8" s="170">
        <f t="shared" si="0"/>
        <v>85632.322776000001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v>247775.13633872994</v>
      </c>
      <c r="F9" s="23">
        <v>0</v>
      </c>
      <c r="G9" s="170">
        <f t="shared" si="0"/>
        <v>247775.13633872994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v>0</v>
      </c>
      <c r="F10" s="23"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v>0</v>
      </c>
      <c r="F11" s="23">
        <v>0</v>
      </c>
      <c r="G11" s="170">
        <f t="shared" si="0"/>
        <v>0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>
        <v>0.6</v>
      </c>
      <c r="F12" s="253">
        <f>+E12</f>
        <v>0.6</v>
      </c>
      <c r="G12" s="243">
        <f>E12</f>
        <v>0.6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E12*E11</f>
        <v>0</v>
      </c>
      <c r="F13" s="171">
        <f>F12*F11</f>
        <v>0</v>
      </c>
      <c r="G13" s="170">
        <f t="shared" si="0"/>
        <v>0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v>0</v>
      </c>
      <c r="F14" s="23">
        <v>44005.274312999987</v>
      </c>
      <c r="G14" s="170">
        <f t="shared" si="0"/>
        <v>44005.274312999987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>
        <v>0.72599999999999998</v>
      </c>
      <c r="F15" s="253">
        <f>+E15</f>
        <v>0.72599999999999998</v>
      </c>
      <c r="G15" s="243">
        <f>E15</f>
        <v>0.72599999999999998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E15*E14</f>
        <v>0</v>
      </c>
      <c r="F16" s="171">
        <f>F15*F14</f>
        <v>31947.829151237991</v>
      </c>
      <c r="G16" s="170">
        <f t="shared" si="0"/>
        <v>31947.829151237991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v>0</v>
      </c>
      <c r="F17" s="23">
        <v>0</v>
      </c>
      <c r="G17" s="170">
        <f t="shared" si="0"/>
        <v>0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>
        <v>0.246</v>
      </c>
      <c r="F18" s="253">
        <f>+E18</f>
        <v>0.246</v>
      </c>
      <c r="G18" s="243">
        <f>F18</f>
        <v>0.246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>
        <v>1</v>
      </c>
      <c r="F19" s="254">
        <f>+E19</f>
        <v>1</v>
      </c>
      <c r="G19" s="245">
        <f>E19</f>
        <v>1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E18*E17/E19</f>
        <v>0</v>
      </c>
      <c r="F20" s="171">
        <f>F18*F17/F19</f>
        <v>0</v>
      </c>
      <c r="G20" s="170">
        <f>E20+F20</f>
        <v>0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v>68892.463580495751</v>
      </c>
      <c r="G21" s="170">
        <f>F21</f>
        <v>68892.463580495751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271809.30461684993</v>
      </c>
      <c r="F22" s="173">
        <f>F6+F7+F8+F9+F10-F13-F16+F20+F21</f>
        <v>188724.19222912774</v>
      </c>
      <c r="G22" s="173">
        <f>E22+F22</f>
        <v>460533.49684597767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v>226534.53334511994</v>
      </c>
      <c r="F24" s="23">
        <v>0</v>
      </c>
      <c r="G24" s="174">
        <f t="shared" ref="G24:G40" si="1">E24+F24</f>
        <v>226534.53334511994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v>0</v>
      </c>
      <c r="F25" s="176">
        <v>27329.852940389996</v>
      </c>
      <c r="G25" s="177">
        <f t="shared" si="1"/>
        <v>27329.852940389996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v>75083.211192989998</v>
      </c>
      <c r="F26" s="179">
        <v>12388.370734739998</v>
      </c>
      <c r="G26" s="180">
        <f t="shared" si="1"/>
        <v>87471.581927730003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v>0</v>
      </c>
      <c r="F27" s="179">
        <v>7956.4203618899983</v>
      </c>
      <c r="G27" s="180">
        <f t="shared" si="1"/>
        <v>7956.4203618899983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v>0</v>
      </c>
      <c r="F28" s="179">
        <v>0</v>
      </c>
      <c r="G28" s="180">
        <f t="shared" si="1"/>
        <v>0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75083.211192989998</v>
      </c>
      <c r="F29" s="182">
        <f>SUM(F25:F28)</f>
        <v>47674.644037019993</v>
      </c>
      <c r="G29" s="183">
        <f t="shared" si="1"/>
        <v>122757.85523001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v>48406.25602919986</v>
      </c>
      <c r="F30" s="179">
        <v>0</v>
      </c>
      <c r="G30" s="180">
        <f t="shared" si="1"/>
        <v>48406.25602919986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0</v>
      </c>
      <c r="G31" s="180">
        <f t="shared" si="1"/>
        <v>0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v>0</v>
      </c>
      <c r="F32" s="179"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v>0</v>
      </c>
      <c r="F33" s="179">
        <v>0</v>
      </c>
      <c r="G33" s="180">
        <f>E33+F33</f>
        <v>0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v>0</v>
      </c>
      <c r="F34" s="179"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v>0</v>
      </c>
      <c r="F35" s="179"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v>25408.918836497771</v>
      </c>
      <c r="F36" s="179">
        <v>0</v>
      </c>
      <c r="G36" s="180">
        <f t="shared" si="1"/>
        <v>25408.918836497771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v>0</v>
      </c>
      <c r="F37" s="179"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73815.174865697627</v>
      </c>
      <c r="F38" s="182">
        <f>F37+F36+F31+F30</f>
        <v>0</v>
      </c>
      <c r="G38" s="183">
        <f t="shared" si="1"/>
        <v>73815.174865697627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v>0</v>
      </c>
      <c r="F39" s="23"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v>0</v>
      </c>
      <c r="F40" s="23">
        <v>0</v>
      </c>
      <c r="G40" s="177">
        <f t="shared" si="1"/>
        <v>0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>
        <f>E18</f>
        <v>0.246</v>
      </c>
      <c r="F41" s="283">
        <f t="shared" ref="F41:G41" si="2">F18</f>
        <v>0.246</v>
      </c>
      <c r="G41" s="249">
        <f t="shared" si="2"/>
        <v>0.246</v>
      </c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>
        <f>E19</f>
        <v>1</v>
      </c>
      <c r="F42" s="247">
        <f>F19</f>
        <v>1</v>
      </c>
      <c r="G42" s="248">
        <f>G19</f>
        <v>1</v>
      </c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E41*E40/E42</f>
        <v>0</v>
      </c>
      <c r="F43" s="188">
        <f>F41*F40/F42</f>
        <v>0</v>
      </c>
      <c r="G43" s="189">
        <f t="shared" ref="G43:G47" si="3">E43+F43</f>
        <v>0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v>4190.8954247159954</v>
      </c>
      <c r="G44" s="177">
        <f>F44</f>
        <v>4190.8954247159954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375432.91940380755</v>
      </c>
      <c r="F45" s="192">
        <f>F24+F29+F38+F39+F43+F44</f>
        <v>51865.539461735985</v>
      </c>
      <c r="G45" s="192">
        <f>E45+F45</f>
        <v>427298.45886554354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v>0</v>
      </c>
      <c r="F46" s="23">
        <v>0</v>
      </c>
      <c r="G46" s="177">
        <f t="shared" si="3"/>
        <v>0</v>
      </c>
      <c r="H46" s="56"/>
      <c r="I46" s="1"/>
      <c r="L46" s="1"/>
      <c r="M46" s="1"/>
      <c r="N46" s="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647242.22402065748</v>
      </c>
      <c r="F47" s="192">
        <f>F22+F45-F46</f>
        <v>240589.73169086373</v>
      </c>
      <c r="G47" s="192">
        <f t="shared" si="3"/>
        <v>887831.95571152121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v>0</v>
      </c>
      <c r="F48" s="194">
        <v>2351.9135639999995</v>
      </c>
      <c r="G48" s="195">
        <f>E48+F48</f>
        <v>2351.9135639999995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v>0</v>
      </c>
      <c r="F51" s="196">
        <v>0</v>
      </c>
      <c r="G51" s="174">
        <f t="shared" ref="G51:G62" si="4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v>0</v>
      </c>
      <c r="F52" s="175">
        <v>0</v>
      </c>
      <c r="G52" s="177">
        <f t="shared" si="4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>
        <v>1</v>
      </c>
      <c r="F53" s="252">
        <f>+E53</f>
        <v>1</v>
      </c>
      <c r="G53" s="251">
        <f>E53</f>
        <v>1</v>
      </c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v>0</v>
      </c>
      <c r="F54" s="193"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v>0</v>
      </c>
      <c r="F55" s="198">
        <v>0</v>
      </c>
      <c r="G55" s="199">
        <f>E55+F55</f>
        <v>0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>
        <v>1</v>
      </c>
      <c r="F56" s="256">
        <f>+E56</f>
        <v>1</v>
      </c>
      <c r="G56" s="245">
        <f>F56</f>
        <v>1</v>
      </c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v>0</v>
      </c>
      <c r="F57" s="193">
        <v>0</v>
      </c>
      <c r="G57" s="197">
        <f>E57+F57</f>
        <v>0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v>0</v>
      </c>
      <c r="F58" s="198"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v>0</v>
      </c>
      <c r="F59" s="200"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>
        <v>0</v>
      </c>
      <c r="F60" s="259">
        <f>+E60</f>
        <v>0</v>
      </c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271809.30461684993</v>
      </c>
      <c r="F61" s="202">
        <f>F22+F51+F52+F54+F57+F58</f>
        <v>188724.19222912774</v>
      </c>
      <c r="G61" s="202">
        <f>G22+G51+G52+G54+G57+G58</f>
        <v>460533.49684597767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v>0</v>
      </c>
      <c r="F62" s="203">
        <v>0</v>
      </c>
      <c r="G62" s="204">
        <f t="shared" si="4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v>0</v>
      </c>
      <c r="F63" s="205">
        <v>0</v>
      </c>
      <c r="G63" s="206">
        <f>E63+F63</f>
        <v>0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>
        <f>E56</f>
        <v>1</v>
      </c>
      <c r="F64" s="260">
        <f>F56</f>
        <v>1</v>
      </c>
      <c r="G64" s="261">
        <f>G56</f>
        <v>1</v>
      </c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v>0</v>
      </c>
      <c r="F65" s="193">
        <v>0</v>
      </c>
      <c r="G65" s="197">
        <f>E65+F65</f>
        <v>0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v>0</v>
      </c>
      <c r="F66" s="198"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v>0</v>
      </c>
      <c r="F67" s="200"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>
        <f>E60</f>
        <v>0</v>
      </c>
      <c r="F68" s="263">
        <f>F60</f>
        <v>0</v>
      </c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375432.91940380755</v>
      </c>
      <c r="F69" s="208">
        <f>F45+F62+F65+F66</f>
        <v>51865.539461735985</v>
      </c>
      <c r="G69" s="209">
        <f>G45+G62+G65+G66</f>
        <v>427298.45886554354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647242.22402065748</v>
      </c>
      <c r="F70" s="173">
        <f>F61+F69-F46</f>
        <v>240589.73169086373</v>
      </c>
      <c r="G70" s="173">
        <f>G61+G69-G46</f>
        <v>887831.95571152121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>
        <v>0.85429999999999995</v>
      </c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>
        <v>2977698</v>
      </c>
      <c r="F74" s="212"/>
      <c r="G74" s="213">
        <f>E74+F74</f>
        <v>2977698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>
        <v>27.216523636715344</v>
      </c>
      <c r="F75" s="265">
        <f>+E75</f>
        <v>27.216523636715344</v>
      </c>
      <c r="G75" s="266">
        <f>E75</f>
        <v>27.216523636715344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>
        <v>33.180999999999997</v>
      </c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>
        <v>0</v>
      </c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>
        <v>-0.40500000000000003</v>
      </c>
      <c r="F80" s="270">
        <f>+E80</f>
        <v>-0.40500000000000003</v>
      </c>
      <c r="G80" s="271">
        <f>+F80</f>
        <v>-0.40500000000000003</v>
      </c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>
        <v>-0.249</v>
      </c>
      <c r="F81" s="273">
        <f t="shared" ref="F81:G82" si="5">+E81</f>
        <v>-0.249</v>
      </c>
      <c r="G81" s="274">
        <f t="shared" si="5"/>
        <v>-0.249</v>
      </c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>
        <v>-0.1</v>
      </c>
      <c r="F82" s="273">
        <f t="shared" si="5"/>
        <v>-0.1</v>
      </c>
      <c r="G82" s="274">
        <f t="shared" si="5"/>
        <v>-0.1</v>
      </c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-0.754</v>
      </c>
      <c r="F83" s="276">
        <f>SUM(F80:F82)</f>
        <v>-0.754</v>
      </c>
      <c r="G83" s="276">
        <f>SUM(G80:G82)</f>
        <v>-0.754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0.246</v>
      </c>
      <c r="F84" s="278">
        <f>1+F83</f>
        <v>0.246</v>
      </c>
      <c r="G84" s="278">
        <f>1+G83</f>
        <v>0.246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>
        <v>1E-3</v>
      </c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>
        <v>0</v>
      </c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>
        <v>0</v>
      </c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>
        <v>0</v>
      </c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1.6E-2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1.016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887831.95571152121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v>551671.99546531658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+G97-G95</f>
        <v>266789.61373468337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v>818461.60919999995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1.0847569949912823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IF(G94&lt;=G97*G93,G94,G97*G93)</f>
        <v>831556.99494719994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IF(G98&lt;=G93,0,G94-G100)</f>
        <v>56274.960764321266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>
        <v>0</v>
      </c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>
        <v>0</v>
      </c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>
        <v>0</v>
      </c>
      <c r="F107" s="203">
        <v>0</v>
      </c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6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0</v>
      </c>
      <c r="F111" s="227">
        <f>F112+F113</f>
        <v>0</v>
      </c>
      <c r="G111" s="228">
        <f t="shared" si="6"/>
        <v>0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0</v>
      </c>
      <c r="F112" s="229">
        <f>F120*F20</f>
        <v>0</v>
      </c>
      <c r="G112" s="230">
        <f t="shared" si="6"/>
        <v>0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0</v>
      </c>
      <c r="F113" s="231">
        <f>F120*F43</f>
        <v>0</v>
      </c>
      <c r="G113" s="232">
        <f t="shared" si="6"/>
        <v>0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0</v>
      </c>
      <c r="F119" s="237">
        <f>F17+F40</f>
        <v>0</v>
      </c>
      <c r="G119" s="238">
        <f>E119+F119</f>
        <v>0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0</v>
      </c>
      <c r="F120" s="240">
        <f>MAX(0,F19-1)</f>
        <v>0</v>
      </c>
      <c r="G120" s="241">
        <f>MAX(0,G19-1)</f>
        <v>0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24">
    <pageSetUpPr fitToPage="1"/>
  </sheetPr>
  <dimension ref="A1:AL254"/>
  <sheetViews>
    <sheetView zoomScaleNormal="100" workbookViewId="0">
      <pane xSplit="4" ySplit="5" topLeftCell="E98" activePane="bottomRight" state="frozen"/>
      <selection activeCell="N110" sqref="N110"/>
      <selection pane="topRight" activeCell="N110" sqref="N110"/>
      <selection pane="bottomLeft" activeCell="N110" sqref="N110"/>
      <selection pane="bottomRight" activeCell="N110" sqref="N110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29.664062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1.5" thickBot="1" x14ac:dyDescent="0.4">
      <c r="A4" s="1"/>
      <c r="B4" s="46"/>
      <c r="C4" s="3" t="s">
        <v>0</v>
      </c>
      <c r="D4" s="4"/>
      <c r="E4" s="294" t="s">
        <v>160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v>52542.214544819988</v>
      </c>
      <c r="F6" s="23">
        <v>0</v>
      </c>
      <c r="G6" s="170">
        <f>E6+F6</f>
        <v>52542.214544819988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v>0</v>
      </c>
      <c r="F7" s="23">
        <v>106260.70697056749</v>
      </c>
      <c r="G7" s="170">
        <f t="shared" ref="G7:G17" si="0">E7+F7</f>
        <v>106260.70697056749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v>0</v>
      </c>
      <c r="F8" s="23">
        <v>53512.047670932487</v>
      </c>
      <c r="G8" s="170">
        <f t="shared" si="0"/>
        <v>53512.047670932487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v>179908.33270409997</v>
      </c>
      <c r="F9" s="23">
        <v>0</v>
      </c>
      <c r="G9" s="170">
        <f t="shared" si="0"/>
        <v>179908.33270409997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v>0</v>
      </c>
      <c r="F10" s="23"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v>283.88932571999993</v>
      </c>
      <c r="F11" s="23">
        <v>0</v>
      </c>
      <c r="G11" s="170">
        <f t="shared" si="0"/>
        <v>283.88932571999993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>
        <v>0.6</v>
      </c>
      <c r="F12" s="253">
        <f>+E12</f>
        <v>0.6</v>
      </c>
      <c r="G12" s="243">
        <f>E12</f>
        <v>0.6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E12*E11</f>
        <v>170.33359543199995</v>
      </c>
      <c r="F13" s="171">
        <f>F12*F11</f>
        <v>0</v>
      </c>
      <c r="G13" s="170">
        <f t="shared" si="0"/>
        <v>170.33359543199995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v>0</v>
      </c>
      <c r="F14" s="23">
        <v>22544.64170468364</v>
      </c>
      <c r="G14" s="170">
        <f t="shared" si="0"/>
        <v>22544.64170468364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>
        <v>0.72599999999999998</v>
      </c>
      <c r="F15" s="253">
        <f>+E15</f>
        <v>0.72599999999999998</v>
      </c>
      <c r="G15" s="243">
        <f>E15</f>
        <v>0.72599999999999998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E15*E14</f>
        <v>0</v>
      </c>
      <c r="F16" s="171">
        <f>F15*F14</f>
        <v>16367.409877600321</v>
      </c>
      <c r="G16" s="170">
        <f t="shared" si="0"/>
        <v>16367.409877600321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v>-95166.532783766394</v>
      </c>
      <c r="F17" s="23">
        <v>-22843.510604895651</v>
      </c>
      <c r="G17" s="170">
        <f t="shared" si="0"/>
        <v>-118010.04338866204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>
        <v>0.246</v>
      </c>
      <c r="F18" s="253">
        <f>+E18</f>
        <v>0.246</v>
      </c>
      <c r="G18" s="243">
        <f>F18</f>
        <v>0.246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>
        <v>1</v>
      </c>
      <c r="F19" s="254">
        <f>+E19</f>
        <v>1</v>
      </c>
      <c r="G19" s="245">
        <f>E19</f>
        <v>1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E18*E17/E19</f>
        <v>-23410.967064806533</v>
      </c>
      <c r="F20" s="171">
        <f>F18*F17/F19</f>
        <v>-5619.5036088043298</v>
      </c>
      <c r="G20" s="170">
        <f>E20+F20</f>
        <v>-29030.470673610864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v>47681.180855914579</v>
      </c>
      <c r="G21" s="170">
        <f>F21</f>
        <v>47681.180855914579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208869.24658868145</v>
      </c>
      <c r="F22" s="173">
        <f>F6+F7+F8+F9+F10-F13-F16+F20+F21</f>
        <v>185467.02201100989</v>
      </c>
      <c r="G22" s="173">
        <f>E22+F22</f>
        <v>394336.26859969134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v>14811.499512809998</v>
      </c>
      <c r="F24" s="23">
        <v>0</v>
      </c>
      <c r="G24" s="174">
        <f t="shared" ref="G24:G40" si="1">E24+F24</f>
        <v>14811.499512809998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v>0</v>
      </c>
      <c r="F25" s="176">
        <v>7025.7750462899976</v>
      </c>
      <c r="G25" s="177">
        <f t="shared" si="1"/>
        <v>7025.7750462899976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v>92860.277379869978</v>
      </c>
      <c r="F26" s="179">
        <v>4268.0551913999989</v>
      </c>
      <c r="G26" s="180">
        <f t="shared" si="1"/>
        <v>97128.332571269973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v>0</v>
      </c>
      <c r="F27" s="179">
        <v>0</v>
      </c>
      <c r="G27" s="180">
        <f t="shared" si="1"/>
        <v>0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v>0</v>
      </c>
      <c r="F28" s="179">
        <v>8681.3339612999971</v>
      </c>
      <c r="G28" s="180">
        <f t="shared" si="1"/>
        <v>8681.3339612999971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92860.277379869978</v>
      </c>
      <c r="F29" s="182">
        <f>SUM(F25:F28)</f>
        <v>19975.164198989994</v>
      </c>
      <c r="G29" s="183">
        <f t="shared" si="1"/>
        <v>112835.44157885997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v>33153.688141095001</v>
      </c>
      <c r="F30" s="179">
        <v>0</v>
      </c>
      <c r="G30" s="180">
        <f t="shared" si="1"/>
        <v>33153.688141095001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145810.44367889996</v>
      </c>
      <c r="G31" s="180">
        <f t="shared" si="1"/>
        <v>145810.44367889996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v>0</v>
      </c>
      <c r="F32" s="179"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v>0</v>
      </c>
      <c r="F33" s="179">
        <v>145810.44367889996</v>
      </c>
      <c r="G33" s="180">
        <f>E33+F33</f>
        <v>145810.44367889996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v>0</v>
      </c>
      <c r="F34" s="179"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v>0</v>
      </c>
      <c r="F35" s="179"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v>19894.119052242178</v>
      </c>
      <c r="F36" s="179">
        <v>0</v>
      </c>
      <c r="G36" s="180">
        <f t="shared" si="1"/>
        <v>19894.119052242178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v>0</v>
      </c>
      <c r="F37" s="179"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53047.807193337183</v>
      </c>
      <c r="F38" s="182">
        <f>F37+F36+F31+F30</f>
        <v>145810.44367889996</v>
      </c>
      <c r="G38" s="183">
        <f t="shared" si="1"/>
        <v>198858.25087223714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v>0</v>
      </c>
      <c r="F39" s="23"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v>58611.141048796351</v>
      </c>
      <c r="F40" s="23">
        <v>22716.687768890515</v>
      </c>
      <c r="G40" s="177">
        <f t="shared" si="1"/>
        <v>81327.828817686866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>
        <f>E18</f>
        <v>0.246</v>
      </c>
      <c r="F41" s="283">
        <f t="shared" ref="F41:G41" si="2">F18</f>
        <v>0.246</v>
      </c>
      <c r="G41" s="249">
        <f t="shared" si="2"/>
        <v>0.246</v>
      </c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>
        <f>E19</f>
        <v>1</v>
      </c>
      <c r="F42" s="247">
        <f>F19</f>
        <v>1</v>
      </c>
      <c r="G42" s="248">
        <f>G19</f>
        <v>1</v>
      </c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E41*E40/E42</f>
        <v>14418.340698003902</v>
      </c>
      <c r="F43" s="188">
        <f>F41*F40/F42</f>
        <v>5588.3051911470666</v>
      </c>
      <c r="G43" s="189">
        <f t="shared" ref="G43:G47" si="3">E43+F43</f>
        <v>20006.645889150968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v>3730.1194152821881</v>
      </c>
      <c r="G44" s="177">
        <f>F44</f>
        <v>3730.1194152821881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175137.92478402107</v>
      </c>
      <c r="F45" s="192">
        <f>F24+F29+F38+F39+F43+F44</f>
        <v>175104.03248431918</v>
      </c>
      <c r="G45" s="192">
        <f>E45+F45</f>
        <v>350241.95726834028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v>0</v>
      </c>
      <c r="F46" s="23">
        <v>0</v>
      </c>
      <c r="G46" s="177">
        <f t="shared" si="3"/>
        <v>0</v>
      </c>
      <c r="H46" s="56"/>
      <c r="I46" s="1"/>
      <c r="L46" s="1"/>
      <c r="M46" s="1"/>
      <c r="N46" s="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384007.17137270252</v>
      </c>
      <c r="F47" s="192">
        <f>F22+F45-F46</f>
        <v>360571.05449532904</v>
      </c>
      <c r="G47" s="192">
        <f t="shared" si="3"/>
        <v>744578.22586803162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v>0</v>
      </c>
      <c r="F48" s="194">
        <v>1212.5409796499998</v>
      </c>
      <c r="G48" s="195">
        <f>E48+F48</f>
        <v>1212.5409796499998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v>0</v>
      </c>
      <c r="F51" s="196">
        <v>0</v>
      </c>
      <c r="G51" s="174">
        <f t="shared" ref="G51:G62" si="4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v>0</v>
      </c>
      <c r="F52" s="175">
        <v>0</v>
      </c>
      <c r="G52" s="177">
        <f t="shared" si="4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>
        <v>1</v>
      </c>
      <c r="F53" s="252">
        <f>+E53</f>
        <v>1</v>
      </c>
      <c r="G53" s="251">
        <f>E53</f>
        <v>1</v>
      </c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v>0</v>
      </c>
      <c r="F54" s="193"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v>0</v>
      </c>
      <c r="F55" s="198">
        <v>0</v>
      </c>
      <c r="G55" s="199">
        <f>E55+F55</f>
        <v>0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>
        <v>1</v>
      </c>
      <c r="F56" s="256">
        <f>+E56</f>
        <v>1</v>
      </c>
      <c r="G56" s="245">
        <f>F56</f>
        <v>1</v>
      </c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v>0</v>
      </c>
      <c r="F57" s="193">
        <v>0</v>
      </c>
      <c r="G57" s="197">
        <f>E57+F57</f>
        <v>0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v>0</v>
      </c>
      <c r="F58" s="198"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v>0</v>
      </c>
      <c r="F59" s="200"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>
        <v>0</v>
      </c>
      <c r="F60" s="259">
        <f>+E60</f>
        <v>0</v>
      </c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208869.24658868145</v>
      </c>
      <c r="F61" s="202">
        <f>F22+F51+F52+F54+F57+F58</f>
        <v>185467.02201100989</v>
      </c>
      <c r="G61" s="202">
        <f>G22+G51+G52+G54+G57+G58</f>
        <v>394336.26859969134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v>0</v>
      </c>
      <c r="F62" s="203">
        <v>0</v>
      </c>
      <c r="G62" s="204">
        <f t="shared" si="4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v>0</v>
      </c>
      <c r="F63" s="205">
        <v>0</v>
      </c>
      <c r="G63" s="206">
        <f>E63+F63</f>
        <v>0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>
        <f>E56</f>
        <v>1</v>
      </c>
      <c r="F64" s="260">
        <f>F56</f>
        <v>1</v>
      </c>
      <c r="G64" s="261">
        <f>G56</f>
        <v>1</v>
      </c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v>0</v>
      </c>
      <c r="F65" s="193">
        <v>0</v>
      </c>
      <c r="G65" s="197">
        <f>E65+F65</f>
        <v>0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v>0</v>
      </c>
      <c r="F66" s="198"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v>0</v>
      </c>
      <c r="F67" s="200"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>
        <f>E60</f>
        <v>0</v>
      </c>
      <c r="F68" s="263">
        <f>F60</f>
        <v>0</v>
      </c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175137.92478402107</v>
      </c>
      <c r="F69" s="208">
        <f>F45+F62+F65+F66</f>
        <v>175104.03248431918</v>
      </c>
      <c r="G69" s="209">
        <f>G45+G62+G65+G66</f>
        <v>350241.95726834028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384007.17137270252</v>
      </c>
      <c r="F70" s="173">
        <f>F61+F69-F46</f>
        <v>360571.05449532904</v>
      </c>
      <c r="G70" s="173">
        <f>G61+G69-G46</f>
        <v>744578.22586803162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>
        <v>0.63319999999999999</v>
      </c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>
        <v>1971780</v>
      </c>
      <c r="F74" s="212"/>
      <c r="G74" s="213">
        <f>E74+F74</f>
        <v>1971780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>
        <v>28.882532534055525</v>
      </c>
      <c r="F75" s="265">
        <f>+E75</f>
        <v>28.882532534055525</v>
      </c>
      <c r="G75" s="266">
        <f>E75</f>
        <v>28.882532534055525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>
        <v>32.100999999999999</v>
      </c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>
        <v>0</v>
      </c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>
        <v>-0.40500000000000003</v>
      </c>
      <c r="F80" s="270">
        <f>+E80</f>
        <v>-0.40500000000000003</v>
      </c>
      <c r="G80" s="271">
        <f>+F80</f>
        <v>-0.40500000000000003</v>
      </c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>
        <v>-0.249</v>
      </c>
      <c r="F81" s="273">
        <f t="shared" ref="F81:G82" si="5">+E81</f>
        <v>-0.249</v>
      </c>
      <c r="G81" s="274">
        <f t="shared" si="5"/>
        <v>-0.249</v>
      </c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>
        <v>-0.1</v>
      </c>
      <c r="F82" s="273">
        <f t="shared" si="5"/>
        <v>-0.1</v>
      </c>
      <c r="G82" s="274">
        <f t="shared" si="5"/>
        <v>-0.1</v>
      </c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-0.754</v>
      </c>
      <c r="F83" s="276">
        <f>SUM(F80:F82)</f>
        <v>-0.754</v>
      </c>
      <c r="G83" s="276">
        <f>SUM(G80:G82)</f>
        <v>-0.754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0.246</v>
      </c>
      <c r="F84" s="278">
        <f>1+F83</f>
        <v>0.246</v>
      </c>
      <c r="G84" s="278">
        <f>1+G83</f>
        <v>0.246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>
        <v>1E-3</v>
      </c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>
        <v>0</v>
      </c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>
        <v>0</v>
      </c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>
        <v>0</v>
      </c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1.6E-2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1.016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744578.22586803162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v>443056.99635072198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+G97-G95</f>
        <v>99762.30004052975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v>542819.29639125173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1.3716870988524268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IF(G94&lt;=G97*G93,G94,G97*G93)</f>
        <v>551504.40513351175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IF(G98&lt;=G93,0,G94-G100)</f>
        <v>193073.82073451986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>
        <v>0</v>
      </c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>
        <v>0</v>
      </c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>
        <v>0</v>
      </c>
      <c r="F107" s="203">
        <v>0</v>
      </c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6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0</v>
      </c>
      <c r="F111" s="227">
        <f>F112+F113</f>
        <v>0</v>
      </c>
      <c r="G111" s="228">
        <f t="shared" si="6"/>
        <v>0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0</v>
      </c>
      <c r="F112" s="229">
        <f>F120*F20</f>
        <v>0</v>
      </c>
      <c r="G112" s="230">
        <f t="shared" si="6"/>
        <v>0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0</v>
      </c>
      <c r="F113" s="231">
        <f>F120*F43</f>
        <v>0</v>
      </c>
      <c r="G113" s="232">
        <f t="shared" si="6"/>
        <v>0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-36555.391734970042</v>
      </c>
      <c r="F119" s="237">
        <f>F17+F40</f>
        <v>-126.8228360051362</v>
      </c>
      <c r="G119" s="238">
        <f>E119+F119</f>
        <v>-36682.214570975179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0</v>
      </c>
      <c r="F120" s="240">
        <f>MAX(0,F19-1)</f>
        <v>0</v>
      </c>
      <c r="G120" s="241">
        <f>MAX(0,G19-1)</f>
        <v>0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3">
    <pageSetUpPr fitToPage="1"/>
  </sheetPr>
  <dimension ref="A1:AL254"/>
  <sheetViews>
    <sheetView zoomScaleNormal="100" workbookViewId="0">
      <pane xSplit="4" ySplit="5" topLeftCell="E98" activePane="bottomRight" state="frozen"/>
      <selection activeCell="N110" sqref="N110"/>
      <selection pane="topRight" activeCell="N110" sqref="N110"/>
      <selection pane="bottomLeft" activeCell="N110" sqref="N110"/>
      <selection pane="bottomRight" activeCell="N110" sqref="N110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29.664062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1.5" thickBot="1" x14ac:dyDescent="0.4">
      <c r="A4" s="1"/>
      <c r="B4" s="46"/>
      <c r="C4" s="3" t="s">
        <v>0</v>
      </c>
      <c r="D4" s="4"/>
      <c r="E4" s="294" t="s">
        <v>159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v>1083.7018592399997</v>
      </c>
      <c r="F6" s="23">
        <v>0</v>
      </c>
      <c r="G6" s="170">
        <f>E6+F6</f>
        <v>1083.7018592399997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v>0</v>
      </c>
      <c r="F7" s="23">
        <v>11412.764108547099</v>
      </c>
      <c r="G7" s="170">
        <f t="shared" ref="G7:G17" si="0">E7+F7</f>
        <v>11412.764108547099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v>0</v>
      </c>
      <c r="F8" s="23">
        <v>23040.58366029289</v>
      </c>
      <c r="G8" s="170">
        <f t="shared" si="0"/>
        <v>23040.58366029289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v>123927.15297962997</v>
      </c>
      <c r="F9" s="23">
        <v>0</v>
      </c>
      <c r="G9" s="170">
        <f t="shared" si="0"/>
        <v>123927.15297962997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v>0</v>
      </c>
      <c r="F10" s="23"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v>1095.9573124499998</v>
      </c>
      <c r="F11" s="23">
        <v>0</v>
      </c>
      <c r="G11" s="170">
        <f t="shared" si="0"/>
        <v>1095.9573124499998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>
        <v>0.6</v>
      </c>
      <c r="F12" s="253">
        <f>+E12</f>
        <v>0.6</v>
      </c>
      <c r="G12" s="243">
        <f>E12</f>
        <v>0.6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E12*E11</f>
        <v>657.57438746999981</v>
      </c>
      <c r="F13" s="171">
        <f>F12*F11</f>
        <v>0</v>
      </c>
      <c r="G13" s="170">
        <f t="shared" si="0"/>
        <v>657.57438746999981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v>0</v>
      </c>
      <c r="F14" s="23">
        <v>8958.3213719999985</v>
      </c>
      <c r="G14" s="170">
        <f t="shared" si="0"/>
        <v>8958.3213719999985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>
        <v>0.72599999999999998</v>
      </c>
      <c r="F15" s="253">
        <f>+E15</f>
        <v>0.72599999999999998</v>
      </c>
      <c r="G15" s="243">
        <f>E15</f>
        <v>0.72599999999999998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E15*E14</f>
        <v>0</v>
      </c>
      <c r="F16" s="171">
        <f>F15*F14</f>
        <v>6503.7413160719989</v>
      </c>
      <c r="G16" s="170">
        <f t="shared" si="0"/>
        <v>6503.7413160719989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v>-12413.066902077306</v>
      </c>
      <c r="F17" s="23">
        <v>2502.2424756716646</v>
      </c>
      <c r="G17" s="170">
        <f t="shared" si="0"/>
        <v>-9910.8244264056411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>
        <v>0.33899999999999997</v>
      </c>
      <c r="F18" s="253">
        <f>+E18</f>
        <v>0.33899999999999997</v>
      </c>
      <c r="G18" s="243">
        <f>F18</f>
        <v>0.33899999999999997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>
        <v>1</v>
      </c>
      <c r="F19" s="254">
        <f>+E19</f>
        <v>1</v>
      </c>
      <c r="G19" s="245">
        <f>E19</f>
        <v>1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E18*E17/E19</f>
        <v>-4208.0296798042064</v>
      </c>
      <c r="F20" s="171">
        <f>F18*F17/F19</f>
        <v>848.26019925269418</v>
      </c>
      <c r="G20" s="170">
        <f>E20+F20</f>
        <v>-3359.7694805515121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v>17995.480617900164</v>
      </c>
      <c r="G21" s="170">
        <f>F21</f>
        <v>17995.480617900164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120145.25077159576</v>
      </c>
      <c r="F22" s="173">
        <f>F6+F7+F8+F9+F10-F13-F16+F20+F21</f>
        <v>46793.347269920851</v>
      </c>
      <c r="G22" s="173">
        <f>E22+F22</f>
        <v>166938.59804151661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v>8480.0146130699977</v>
      </c>
      <c r="F24" s="23">
        <v>2496.6311369999994</v>
      </c>
      <c r="G24" s="174">
        <f t="shared" ref="G24:G40" si="1">E24+F24</f>
        <v>10976.645750069998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v>9865.0022671199986</v>
      </c>
      <c r="F25" s="176">
        <v>0</v>
      </c>
      <c r="G25" s="177">
        <f t="shared" si="1"/>
        <v>9865.0022671199986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v>20270.934533849999</v>
      </c>
      <c r="F26" s="179">
        <v>0</v>
      </c>
      <c r="G26" s="180">
        <f t="shared" si="1"/>
        <v>20270.934533849999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v>0</v>
      </c>
      <c r="F27" s="179">
        <v>0</v>
      </c>
      <c r="G27" s="180">
        <f t="shared" si="1"/>
        <v>0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v>0</v>
      </c>
      <c r="F28" s="179">
        <v>0</v>
      </c>
      <c r="G28" s="180">
        <f t="shared" si="1"/>
        <v>0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30135.936800969997</v>
      </c>
      <c r="F29" s="182">
        <f>SUM(F25:F28)</f>
        <v>0</v>
      </c>
      <c r="G29" s="183">
        <f t="shared" si="1"/>
        <v>30135.936800969997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v>15910.073094191879</v>
      </c>
      <c r="F30" s="179">
        <v>0</v>
      </c>
      <c r="G30" s="180">
        <f t="shared" si="1"/>
        <v>15910.073094191879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45153.906797999989</v>
      </c>
      <c r="G31" s="180">
        <f t="shared" si="1"/>
        <v>45153.906797999989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v>0</v>
      </c>
      <c r="F32" s="179"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v>0</v>
      </c>
      <c r="F33" s="179">
        <v>45153.906797999989</v>
      </c>
      <c r="G33" s="180">
        <f>E33+F33</f>
        <v>45153.906797999989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v>0</v>
      </c>
      <c r="F34" s="179"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v>0</v>
      </c>
      <c r="F35" s="179"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v>8347.8712373420803</v>
      </c>
      <c r="F36" s="179">
        <v>0</v>
      </c>
      <c r="G36" s="180">
        <f t="shared" si="1"/>
        <v>8347.8712373420803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v>0</v>
      </c>
      <c r="F37" s="179"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24257.944331533959</v>
      </c>
      <c r="F38" s="182">
        <f>F37+F36+F31+F30</f>
        <v>45153.906797999989</v>
      </c>
      <c r="G38" s="183">
        <f t="shared" si="1"/>
        <v>69411.851129533956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v>0</v>
      </c>
      <c r="F39" s="23"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v>-10661.973839614948</v>
      </c>
      <c r="F40" s="23">
        <v>41851.18790840642</v>
      </c>
      <c r="G40" s="177">
        <f t="shared" si="1"/>
        <v>31189.214068791473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>
        <f>E18</f>
        <v>0.33899999999999997</v>
      </c>
      <c r="F41" s="283">
        <f t="shared" ref="F41:G41" si="2">F18</f>
        <v>0.33899999999999997</v>
      </c>
      <c r="G41" s="249">
        <f t="shared" si="2"/>
        <v>0.33899999999999997</v>
      </c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>
        <f>E19</f>
        <v>1</v>
      </c>
      <c r="F42" s="247">
        <f>F19</f>
        <v>1</v>
      </c>
      <c r="G42" s="248">
        <f>G19</f>
        <v>1</v>
      </c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E41*E40/E42</f>
        <v>-3614.4091316294671</v>
      </c>
      <c r="F43" s="188">
        <f>F41*F40/F42</f>
        <v>14187.552700949775</v>
      </c>
      <c r="G43" s="189">
        <f t="shared" ref="G43:G47" si="3">E43+F43</f>
        <v>10573.143569320308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v>684.41170477679987</v>
      </c>
      <c r="G44" s="177">
        <f>F44</f>
        <v>684.41170477679987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59259.486613944493</v>
      </c>
      <c r="F45" s="192">
        <f>F24+F29+F38+F39+F43+F44</f>
        <v>62522.502340726562</v>
      </c>
      <c r="G45" s="192">
        <f>E45+F45</f>
        <v>121781.98895467105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v>0</v>
      </c>
      <c r="F46" s="23">
        <v>0</v>
      </c>
      <c r="G46" s="177">
        <f t="shared" si="3"/>
        <v>0</v>
      </c>
      <c r="H46" s="56"/>
      <c r="I46" s="1"/>
      <c r="L46" s="1"/>
      <c r="M46" s="1"/>
      <c r="N46" s="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179404.73738554027</v>
      </c>
      <c r="F47" s="192">
        <f>F22+F45-F46</f>
        <v>109315.84961064742</v>
      </c>
      <c r="G47" s="192">
        <f t="shared" si="3"/>
        <v>288720.58699618769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v>0</v>
      </c>
      <c r="F48" s="194">
        <v>695.25155699999982</v>
      </c>
      <c r="G48" s="195">
        <f>E48+F48</f>
        <v>695.25155699999982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v>0</v>
      </c>
      <c r="F51" s="196">
        <v>0</v>
      </c>
      <c r="G51" s="174">
        <f t="shared" ref="G51:G62" si="4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v>0</v>
      </c>
      <c r="F52" s="175">
        <v>0</v>
      </c>
      <c r="G52" s="177">
        <f t="shared" si="4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>
        <v>1</v>
      </c>
      <c r="F53" s="252">
        <f>+E53</f>
        <v>1</v>
      </c>
      <c r="G53" s="251">
        <f>E53</f>
        <v>1</v>
      </c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v>0</v>
      </c>
      <c r="F54" s="193"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v>-23419.127295103026</v>
      </c>
      <c r="F55" s="198">
        <v>-18377.086861281394</v>
      </c>
      <c r="G55" s="199">
        <f>E55+F55</f>
        <v>-41796.21415638442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>
        <v>1</v>
      </c>
      <c r="F56" s="256">
        <f>+E56</f>
        <v>1</v>
      </c>
      <c r="G56" s="245">
        <f>F56</f>
        <v>1</v>
      </c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v>-23419.127295103026</v>
      </c>
      <c r="F57" s="193">
        <v>-18377.086861281394</v>
      </c>
      <c r="G57" s="197">
        <f>E57+F57</f>
        <v>-41796.21415638442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v>0</v>
      </c>
      <c r="F58" s="198"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v>0</v>
      </c>
      <c r="F59" s="200"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>
        <v>0</v>
      </c>
      <c r="F60" s="259">
        <f>+E60</f>
        <v>0</v>
      </c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96726.123476492736</v>
      </c>
      <c r="F61" s="202">
        <f>F22+F51+F52+F54+F57+F58</f>
        <v>28416.260408639457</v>
      </c>
      <c r="G61" s="202">
        <f>G22+G51+G52+G54+G57+G58</f>
        <v>125142.38388513219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v>0</v>
      </c>
      <c r="F62" s="203">
        <v>0</v>
      </c>
      <c r="G62" s="204">
        <f t="shared" si="4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v>-19.524484052395565</v>
      </c>
      <c r="F63" s="205">
        <v>60237.999840436889</v>
      </c>
      <c r="G63" s="206">
        <f>E63+F63</f>
        <v>60218.475356384493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>
        <f>E56</f>
        <v>1</v>
      </c>
      <c r="F64" s="260">
        <f>F56</f>
        <v>1</v>
      </c>
      <c r="G64" s="261">
        <f>G56</f>
        <v>1</v>
      </c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v>-19.524484052395565</v>
      </c>
      <c r="F65" s="193">
        <v>60237.999840436889</v>
      </c>
      <c r="G65" s="197">
        <f>E65+F65</f>
        <v>60218.475356384493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v>0</v>
      </c>
      <c r="F66" s="198"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v>0</v>
      </c>
      <c r="F67" s="200"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>
        <f>E60</f>
        <v>0</v>
      </c>
      <c r="F68" s="263">
        <f>F60</f>
        <v>0</v>
      </c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59239.962129892097</v>
      </c>
      <c r="F69" s="208">
        <f>F45+F62+F65+F66</f>
        <v>122760.50218116345</v>
      </c>
      <c r="G69" s="209">
        <f>G45+G62+G65+G66</f>
        <v>182000.46431105555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155966.08560638485</v>
      </c>
      <c r="F70" s="173">
        <f>F61+F69-F46</f>
        <v>151176.76258980291</v>
      </c>
      <c r="G70" s="173">
        <f>G61+G69-G46</f>
        <v>307142.84819618776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>
        <v>0.86499999999999999</v>
      </c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>
        <v>554652</v>
      </c>
      <c r="F74" s="212"/>
      <c r="G74" s="213">
        <f>E74+F74</f>
        <v>554652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>
        <v>37.788653065345471</v>
      </c>
      <c r="F75" s="265">
        <f>+E75</f>
        <v>37.788653065345471</v>
      </c>
      <c r="G75" s="266">
        <f>E75</f>
        <v>37.788653065345471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>
        <v>33.6</v>
      </c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>
        <v>0</v>
      </c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>
        <v>-0.33400000000000002</v>
      </c>
      <c r="F80" s="270">
        <f>+E80</f>
        <v>-0.33400000000000002</v>
      </c>
      <c r="G80" s="271">
        <f>+F80</f>
        <v>-0.33400000000000002</v>
      </c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>
        <v>-0.22700000000000001</v>
      </c>
      <c r="F81" s="273">
        <f t="shared" ref="F81:G82" si="5">+E81</f>
        <v>-0.22700000000000001</v>
      </c>
      <c r="G81" s="274">
        <f t="shared" si="5"/>
        <v>-0.22700000000000001</v>
      </c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>
        <v>-0.1</v>
      </c>
      <c r="F82" s="273">
        <f t="shared" si="5"/>
        <v>-0.1</v>
      </c>
      <c r="G82" s="274">
        <f t="shared" si="5"/>
        <v>-0.1</v>
      </c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-0.66100000000000003</v>
      </c>
      <c r="F83" s="276">
        <f>SUM(F80:F82)</f>
        <v>-0.66100000000000003</v>
      </c>
      <c r="G83" s="276">
        <f>SUM(G80:G82)</f>
        <v>-0.66100000000000003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0.33899999999999997</v>
      </c>
      <c r="F84" s="278">
        <f>1+F83</f>
        <v>0.33899999999999997</v>
      </c>
      <c r="G84" s="278">
        <f>1+G83</f>
        <v>0.33899999999999997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>
        <v>1E-3</v>
      </c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>
        <v>0</v>
      </c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>
        <v>0</v>
      </c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>
        <v>0.03</v>
      </c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4.5999999999999999E-2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1.046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307142.84819618776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v>161330.51999999999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+G97-G95</f>
        <v>48265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v>209595.51999999999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1.4654075058292648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IF(G94&lt;=G97*G93,G94,G97*G93)</f>
        <v>219236.91391999999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IF(G98&lt;=G93,0,G94-G100)</f>
        <v>87905.934276187763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>
        <v>3922.0321148677758</v>
      </c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>
        <v>-3922.0321148677758</v>
      </c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>
        <v>0</v>
      </c>
      <c r="F107" s="203">
        <v>0</v>
      </c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6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0</v>
      </c>
      <c r="F111" s="227">
        <f>F112+F113</f>
        <v>0</v>
      </c>
      <c r="G111" s="228">
        <f t="shared" si="6"/>
        <v>0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0</v>
      </c>
      <c r="F112" s="229">
        <f>F120*F20</f>
        <v>0</v>
      </c>
      <c r="G112" s="230">
        <f t="shared" si="6"/>
        <v>0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0</v>
      </c>
      <c r="F113" s="231">
        <f>F120*F43</f>
        <v>0</v>
      </c>
      <c r="G113" s="232">
        <f t="shared" si="6"/>
        <v>0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-23075.040741692254</v>
      </c>
      <c r="F119" s="237">
        <f>F17+F40</f>
        <v>44353.430384078085</v>
      </c>
      <c r="G119" s="238">
        <f>E119+F119</f>
        <v>21278.389642385831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0</v>
      </c>
      <c r="F120" s="240">
        <f>MAX(0,F19-1)</f>
        <v>0</v>
      </c>
      <c r="G120" s="241">
        <f>MAX(0,G19-1)</f>
        <v>0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2">
    <pageSetUpPr fitToPage="1"/>
  </sheetPr>
  <dimension ref="A1:AL254"/>
  <sheetViews>
    <sheetView zoomScaleNormal="100" workbookViewId="0">
      <pane xSplit="4" ySplit="5" topLeftCell="E98" activePane="bottomRight" state="frozen"/>
      <selection activeCell="N110" sqref="N110"/>
      <selection pane="topRight" activeCell="N110" sqref="N110"/>
      <selection pane="bottomLeft" activeCell="N110" sqref="N110"/>
      <selection pane="bottomRight" activeCell="N110" sqref="N110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29.664062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1.5" thickBot="1" x14ac:dyDescent="0.4">
      <c r="A4" s="1"/>
      <c r="B4" s="46"/>
      <c r="C4" s="3" t="s">
        <v>0</v>
      </c>
      <c r="D4" s="4"/>
      <c r="E4" s="294" t="s">
        <v>158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v>32729.447750999989</v>
      </c>
      <c r="F6" s="23">
        <v>0</v>
      </c>
      <c r="G6" s="170">
        <f>E6+F6</f>
        <v>32729.447750999989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v>0</v>
      </c>
      <c r="F7" s="23">
        <v>45846.865844744658</v>
      </c>
      <c r="G7" s="170">
        <f t="shared" ref="G7:G17" si="0">E7+F7</f>
        <v>45846.865844744658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v>0</v>
      </c>
      <c r="F8" s="23">
        <v>5968.4515591053405</v>
      </c>
      <c r="G8" s="170">
        <f t="shared" si="0"/>
        <v>5968.4515591053405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v>16477.805984639996</v>
      </c>
      <c r="F9" s="23">
        <v>0</v>
      </c>
      <c r="G9" s="170">
        <f t="shared" si="0"/>
        <v>16477.805984639996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v>0</v>
      </c>
      <c r="F10" s="23"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v>0</v>
      </c>
      <c r="F11" s="23">
        <v>0</v>
      </c>
      <c r="G11" s="170">
        <f t="shared" si="0"/>
        <v>0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>
        <v>0.6</v>
      </c>
      <c r="F12" s="253">
        <f>+E12</f>
        <v>0.6</v>
      </c>
      <c r="G12" s="243">
        <f>E12</f>
        <v>0.6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E12*E11</f>
        <v>0</v>
      </c>
      <c r="F13" s="171">
        <f>F12*F11</f>
        <v>0</v>
      </c>
      <c r="G13" s="170">
        <f t="shared" si="0"/>
        <v>0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v>0</v>
      </c>
      <c r="F14" s="23">
        <v>2525.2596023845522</v>
      </c>
      <c r="G14" s="170">
        <f t="shared" si="0"/>
        <v>2525.2596023845522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>
        <v>0.72599999999999998</v>
      </c>
      <c r="F15" s="253">
        <f>+E15</f>
        <v>0.72599999999999998</v>
      </c>
      <c r="G15" s="243">
        <f>E15</f>
        <v>0.72599999999999998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E15*E14</f>
        <v>0</v>
      </c>
      <c r="F16" s="171">
        <f>F15*F14</f>
        <v>1833.3384713311848</v>
      </c>
      <c r="G16" s="170">
        <f t="shared" si="0"/>
        <v>1833.3384713311848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v>-2987.8795116600086</v>
      </c>
      <c r="F17" s="23">
        <v>5226.7463116551298</v>
      </c>
      <c r="G17" s="170">
        <f t="shared" si="0"/>
        <v>2238.8667999951213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>
        <v>0.246</v>
      </c>
      <c r="F18" s="253">
        <f>+E18</f>
        <v>0.246</v>
      </c>
      <c r="G18" s="243">
        <f>F18</f>
        <v>0.246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>
        <v>1</v>
      </c>
      <c r="F19" s="254">
        <f>+E19</f>
        <v>1</v>
      </c>
      <c r="G19" s="245">
        <f>E19</f>
        <v>1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E18*E17/E19</f>
        <v>-735.01835986836215</v>
      </c>
      <c r="F20" s="171">
        <f>F18*F17/F19</f>
        <v>1285.779592667162</v>
      </c>
      <c r="G20" s="170">
        <f>E20+F20</f>
        <v>550.76123279879982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v>9350.3035926300035</v>
      </c>
      <c r="G21" s="170">
        <f>F21</f>
        <v>9350.3035926300035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48472.235375771619</v>
      </c>
      <c r="F22" s="173">
        <f>F6+F7+F8+F9+F10-F13-F16+F20+F21</f>
        <v>60618.062117815978</v>
      </c>
      <c r="G22" s="173">
        <f>E22+F22</f>
        <v>109090.2974935876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v>504.03207854999988</v>
      </c>
      <c r="F24" s="23">
        <v>1634.3977649999997</v>
      </c>
      <c r="G24" s="174">
        <f t="shared" ref="G24:G40" si="1">E24+F24</f>
        <v>2138.4298435499995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v>0</v>
      </c>
      <c r="F25" s="176">
        <v>11386.135760999998</v>
      </c>
      <c r="G25" s="177">
        <f t="shared" si="1"/>
        <v>11386.135760999998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v>15394.013044409996</v>
      </c>
      <c r="F26" s="179">
        <v>0</v>
      </c>
      <c r="G26" s="180">
        <f t="shared" si="1"/>
        <v>15394.013044409996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v>0</v>
      </c>
      <c r="F27" s="179">
        <v>4306.1068049999994</v>
      </c>
      <c r="G27" s="180">
        <f t="shared" si="1"/>
        <v>4306.1068049999994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v>0</v>
      </c>
      <c r="F28" s="179">
        <v>875.38951499999985</v>
      </c>
      <c r="G28" s="180">
        <f t="shared" si="1"/>
        <v>875.38951499999985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15394.013044409996</v>
      </c>
      <c r="F29" s="182">
        <f>SUM(F25:F28)</f>
        <v>16567.632080999996</v>
      </c>
      <c r="G29" s="183">
        <f t="shared" si="1"/>
        <v>31961.645125409992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v>5467.5090965577583</v>
      </c>
      <c r="F30" s="179">
        <v>0</v>
      </c>
      <c r="G30" s="180">
        <f t="shared" si="1"/>
        <v>5467.5090965577583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8127.4603409999982</v>
      </c>
      <c r="G31" s="180">
        <f t="shared" si="1"/>
        <v>8127.4603409999982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v>0</v>
      </c>
      <c r="F32" s="179"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v>0</v>
      </c>
      <c r="F33" s="179">
        <v>8127.4603409999982</v>
      </c>
      <c r="G33" s="180">
        <f>E33+F33</f>
        <v>8127.4603409999982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v>0</v>
      </c>
      <c r="F34" s="179"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v>0</v>
      </c>
      <c r="F35" s="179"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v>3016.674688171162</v>
      </c>
      <c r="F36" s="179">
        <v>0</v>
      </c>
      <c r="G36" s="180">
        <f t="shared" si="1"/>
        <v>3016.674688171162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v>0</v>
      </c>
      <c r="F37" s="179"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8484.1837847289207</v>
      </c>
      <c r="F38" s="182">
        <f>F37+F36+F31+F30</f>
        <v>8127.4603409999982</v>
      </c>
      <c r="G38" s="183">
        <f t="shared" si="1"/>
        <v>16611.644125728919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v>0</v>
      </c>
      <c r="F39" s="23"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v>-666.74261675140406</v>
      </c>
      <c r="F40" s="23">
        <v>-8139.1587566439775</v>
      </c>
      <c r="G40" s="177">
        <f t="shared" si="1"/>
        <v>-8805.9013733953816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>
        <f>E18</f>
        <v>0.246</v>
      </c>
      <c r="F41" s="283">
        <f t="shared" ref="F41:G41" si="2">F18</f>
        <v>0.246</v>
      </c>
      <c r="G41" s="249">
        <f t="shared" si="2"/>
        <v>0.246</v>
      </c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>
        <f>E19</f>
        <v>1</v>
      </c>
      <c r="F42" s="247">
        <f>F19</f>
        <v>1</v>
      </c>
      <c r="G42" s="248">
        <f>G19</f>
        <v>1</v>
      </c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E41*E40/E42</f>
        <v>-164.01868372084539</v>
      </c>
      <c r="F43" s="188">
        <f>F41*F40/F42</f>
        <v>-2002.2330541344184</v>
      </c>
      <c r="G43" s="189">
        <f t="shared" ref="G43:G47" si="3">E43+F43</f>
        <v>-2166.2517378552639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v>68.917949099999973</v>
      </c>
      <c r="G44" s="177">
        <f>F44</f>
        <v>68.917949099999973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24218.210223968072</v>
      </c>
      <c r="F45" s="192">
        <f>F24+F29+F38+F39+F43+F44</f>
        <v>24396.175081965575</v>
      </c>
      <c r="G45" s="192">
        <f>E45+F45</f>
        <v>48614.385305933647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v>0</v>
      </c>
      <c r="F46" s="23">
        <v>0</v>
      </c>
      <c r="G46" s="177">
        <f t="shared" si="3"/>
        <v>0</v>
      </c>
      <c r="H46" s="56"/>
      <c r="I46" s="1"/>
      <c r="L46" s="1"/>
      <c r="M46" s="1"/>
      <c r="N46" s="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72690.445599739687</v>
      </c>
      <c r="F47" s="192">
        <f>F22+F45-F46</f>
        <v>85014.23719978155</v>
      </c>
      <c r="G47" s="192">
        <f t="shared" si="3"/>
        <v>157704.68279952125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v>0</v>
      </c>
      <c r="F48" s="194">
        <v>0</v>
      </c>
      <c r="G48" s="195">
        <f>E48+F48</f>
        <v>0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v>0</v>
      </c>
      <c r="F51" s="196">
        <v>0</v>
      </c>
      <c r="G51" s="174">
        <f t="shared" ref="G51:G62" si="4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v>0</v>
      </c>
      <c r="F52" s="175">
        <v>0</v>
      </c>
      <c r="G52" s="177">
        <f t="shared" si="4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>
        <v>1</v>
      </c>
      <c r="F53" s="252">
        <f>+E53</f>
        <v>1</v>
      </c>
      <c r="G53" s="251">
        <f>E53</f>
        <v>1</v>
      </c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v>0</v>
      </c>
      <c r="F54" s="193"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v>-3164.5796882000068</v>
      </c>
      <c r="F55" s="198">
        <v>4813.1206230792013</v>
      </c>
      <c r="G55" s="199">
        <f>E55+F55</f>
        <v>1648.5409348791945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>
        <v>1</v>
      </c>
      <c r="F56" s="256">
        <f>+E56</f>
        <v>1</v>
      </c>
      <c r="G56" s="245">
        <f>F56</f>
        <v>1</v>
      </c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v>-3164.5796882000068</v>
      </c>
      <c r="F57" s="193">
        <v>4813.1206230792013</v>
      </c>
      <c r="G57" s="197">
        <f>E57+F57</f>
        <v>1648.5409348791945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v>0</v>
      </c>
      <c r="F58" s="198"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v>0</v>
      </c>
      <c r="F59" s="200"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>
        <v>0</v>
      </c>
      <c r="F60" s="259">
        <f>+E60</f>
        <v>0</v>
      </c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45307.655687571612</v>
      </c>
      <c r="F61" s="202">
        <f>F22+F51+F52+F54+F57+F58</f>
        <v>65431.182740895179</v>
      </c>
      <c r="G61" s="202">
        <f>G22+G51+G52+G54+G57+G58</f>
        <v>110738.83842846678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v>0</v>
      </c>
      <c r="F62" s="203">
        <v>0</v>
      </c>
      <c r="G62" s="204">
        <f t="shared" si="4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v>-324.63273719731842</v>
      </c>
      <c r="F63" s="205">
        <v>-9225.094373496464</v>
      </c>
      <c r="G63" s="206">
        <f>E63+F63</f>
        <v>-9549.7271106937824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>
        <f>E56</f>
        <v>1</v>
      </c>
      <c r="F64" s="260">
        <f>F56</f>
        <v>1</v>
      </c>
      <c r="G64" s="261">
        <f>G56</f>
        <v>1</v>
      </c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v>-324.63273719731842</v>
      </c>
      <c r="F65" s="193">
        <v>-9225.094373496464</v>
      </c>
      <c r="G65" s="197">
        <f>E65+F65</f>
        <v>-9549.7271106937824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v>0</v>
      </c>
      <c r="F66" s="198"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v>0</v>
      </c>
      <c r="F67" s="200"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>
        <f>E60</f>
        <v>0</v>
      </c>
      <c r="F68" s="263">
        <f>F60</f>
        <v>0</v>
      </c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23893.577486770751</v>
      </c>
      <c r="F69" s="208">
        <f>F45+F62+F65+F66</f>
        <v>15171.080708469111</v>
      </c>
      <c r="G69" s="209">
        <f>G45+G62+G65+G66</f>
        <v>39064.658195239863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69201.233174342371</v>
      </c>
      <c r="F70" s="173">
        <f>F61+F69-F46</f>
        <v>80602.263449364284</v>
      </c>
      <c r="G70" s="173">
        <f>G61+G69-G46</f>
        <v>149803.49662370665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>
        <v>0.33329999999999999</v>
      </c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>
        <v>454660</v>
      </c>
      <c r="F74" s="212"/>
      <c r="G74" s="213">
        <f>E74+F74</f>
        <v>454660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>
        <v>28.153805041129637</v>
      </c>
      <c r="F75" s="265">
        <f>+E75</f>
        <v>28.153805041129637</v>
      </c>
      <c r="G75" s="266">
        <f>E75</f>
        <v>28.153805041129637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>
        <v>33.451999999999998</v>
      </c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>
        <v>0</v>
      </c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>
        <v>-0.40500000000000003</v>
      </c>
      <c r="F80" s="270">
        <f>+E80</f>
        <v>-0.40500000000000003</v>
      </c>
      <c r="G80" s="271">
        <f>+F80</f>
        <v>-0.40500000000000003</v>
      </c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>
        <v>-0.249</v>
      </c>
      <c r="F81" s="273">
        <f t="shared" ref="F81:G82" si="5">+E81</f>
        <v>-0.249</v>
      </c>
      <c r="G81" s="274">
        <f t="shared" si="5"/>
        <v>-0.249</v>
      </c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>
        <v>-0.1</v>
      </c>
      <c r="F82" s="273">
        <f t="shared" si="5"/>
        <v>-0.1</v>
      </c>
      <c r="G82" s="274">
        <f t="shared" si="5"/>
        <v>-0.1</v>
      </c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-0.754</v>
      </c>
      <c r="F83" s="276">
        <f>SUM(F80:F82)</f>
        <v>-0.754</v>
      </c>
      <c r="G83" s="276">
        <f>SUM(G80:G82)</f>
        <v>-0.754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0.246</v>
      </c>
      <c r="F84" s="278">
        <f>1+F83</f>
        <v>0.246</v>
      </c>
      <c r="G84" s="278">
        <f>1+G83</f>
        <v>0.246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>
        <v>1E-3</v>
      </c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>
        <v>0</v>
      </c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>
        <v>0</v>
      </c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>
        <v>0</v>
      </c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1.6E-2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1.016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149803.49662370665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v>84041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+G97-G95</f>
        <v>43963.09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v>128004.09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1.1703024225531127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IF(G94&lt;=G97*G93,G94,G97*G93)</f>
        <v>130052.15544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IF(G98&lt;=G93,0,G94-G100)</f>
        <v>19751.341183706652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>
        <v>-9889.6384284668165</v>
      </c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>
        <v>9889.6384284668165</v>
      </c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>
        <v>0</v>
      </c>
      <c r="F107" s="203">
        <v>0</v>
      </c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6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0</v>
      </c>
      <c r="F111" s="227">
        <f>F112+F113</f>
        <v>0</v>
      </c>
      <c r="G111" s="228">
        <f t="shared" si="6"/>
        <v>0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0</v>
      </c>
      <c r="F112" s="229">
        <f>F120*F20</f>
        <v>0</v>
      </c>
      <c r="G112" s="230">
        <f t="shared" si="6"/>
        <v>0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0</v>
      </c>
      <c r="F113" s="231">
        <f>F120*F43</f>
        <v>0</v>
      </c>
      <c r="G113" s="232">
        <f t="shared" si="6"/>
        <v>0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-3654.6221284114126</v>
      </c>
      <c r="F119" s="237">
        <f>F17+F40</f>
        <v>-2912.4124449888477</v>
      </c>
      <c r="G119" s="238">
        <f>E119+F119</f>
        <v>-6567.0345734002603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0</v>
      </c>
      <c r="F120" s="240">
        <f>MAX(0,F19-1)</f>
        <v>0</v>
      </c>
      <c r="G120" s="241">
        <f>MAX(0,G19-1)</f>
        <v>0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0">
    <pageSetUpPr fitToPage="1"/>
  </sheetPr>
  <dimension ref="A1:AL254"/>
  <sheetViews>
    <sheetView zoomScaleNormal="100" workbookViewId="0">
      <pane xSplit="4" ySplit="5" topLeftCell="E98" activePane="bottomRight" state="frozen"/>
      <selection activeCell="N110" sqref="N110"/>
      <selection pane="topRight" activeCell="N110" sqref="N110"/>
      <selection pane="bottomLeft" activeCell="N110" sqref="N110"/>
      <selection pane="bottomRight" activeCell="N110" sqref="N110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29.664062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1.5" thickBot="1" x14ac:dyDescent="0.4">
      <c r="A4" s="1"/>
      <c r="B4" s="46"/>
      <c r="C4" s="3" t="s">
        <v>0</v>
      </c>
      <c r="D4" s="4"/>
      <c r="E4" s="294" t="s">
        <v>157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v>7168.600158719998</v>
      </c>
      <c r="F6" s="23">
        <v>0</v>
      </c>
      <c r="G6" s="170">
        <f>E6+F6</f>
        <v>7168.600158719998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v>0</v>
      </c>
      <c r="F7" s="23">
        <v>7270.6311077399987</v>
      </c>
      <c r="G7" s="170">
        <f t="shared" ref="G7:G17" si="0">E7+F7</f>
        <v>7270.6311077399987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v>0</v>
      </c>
      <c r="F8" s="23">
        <v>10336.295789819998</v>
      </c>
      <c r="G8" s="170">
        <f t="shared" si="0"/>
        <v>10336.295789819998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v>53689.855259039985</v>
      </c>
      <c r="F9" s="23">
        <v>0</v>
      </c>
      <c r="G9" s="170">
        <f t="shared" si="0"/>
        <v>53689.855259039985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v>0</v>
      </c>
      <c r="F10" s="23"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v>17.102985899999993</v>
      </c>
      <c r="F11" s="23">
        <v>0</v>
      </c>
      <c r="G11" s="170">
        <f t="shared" si="0"/>
        <v>17.102985899999993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>
        <v>0.6</v>
      </c>
      <c r="F12" s="253">
        <f>+E12</f>
        <v>0.6</v>
      </c>
      <c r="G12" s="243">
        <f>E12</f>
        <v>0.6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E12*E11</f>
        <v>10.261791539999995</v>
      </c>
      <c r="F13" s="171">
        <f>F12*F11</f>
        <v>0</v>
      </c>
      <c r="G13" s="170">
        <f t="shared" si="0"/>
        <v>10.261791539999995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v>0</v>
      </c>
      <c r="F14" s="23">
        <v>8402.8487743199985</v>
      </c>
      <c r="G14" s="170">
        <f t="shared" si="0"/>
        <v>8402.8487743199985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>
        <v>0.72599999999999998</v>
      </c>
      <c r="F15" s="253">
        <f>+E15</f>
        <v>0.72599999999999998</v>
      </c>
      <c r="G15" s="243">
        <f>E15</f>
        <v>0.72599999999999998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E15*E14</f>
        <v>0</v>
      </c>
      <c r="F16" s="171">
        <f>F15*F14</f>
        <v>6100.4682101563185</v>
      </c>
      <c r="G16" s="170">
        <f t="shared" si="0"/>
        <v>6100.4682101563185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v>0</v>
      </c>
      <c r="F17" s="23">
        <v>0</v>
      </c>
      <c r="G17" s="170">
        <f t="shared" si="0"/>
        <v>0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>
        <v>0.65</v>
      </c>
      <c r="F18" s="253">
        <f>+E18</f>
        <v>0.65</v>
      </c>
      <c r="G18" s="243">
        <f>F18</f>
        <v>0.65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>
        <v>1</v>
      </c>
      <c r="F19" s="254">
        <f>+E19</f>
        <v>1</v>
      </c>
      <c r="G19" s="245">
        <f>E19</f>
        <v>1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E18*E17/E19</f>
        <v>0</v>
      </c>
      <c r="F20" s="171">
        <f>F18*F17/F19</f>
        <v>0</v>
      </c>
      <c r="G20" s="170">
        <f>E20+F20</f>
        <v>0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v>7346.7556055712039</v>
      </c>
      <c r="G21" s="170">
        <f>F21</f>
        <v>7346.7556055712039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60848.193626219989</v>
      </c>
      <c r="F22" s="173">
        <f>F6+F7+F8+F9+F10-F13-F16+F20+F21</f>
        <v>18853.214292974884</v>
      </c>
      <c r="G22" s="173">
        <f>E22+F22</f>
        <v>79701.407919194869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v>6893.0093231999981</v>
      </c>
      <c r="F24" s="23">
        <v>0</v>
      </c>
      <c r="G24" s="174">
        <f t="shared" ref="G24:G40" si="1">E24+F24</f>
        <v>6893.0093231999981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v>4151.724526949999</v>
      </c>
      <c r="F25" s="176">
        <v>0</v>
      </c>
      <c r="G25" s="177">
        <f t="shared" si="1"/>
        <v>4151.724526949999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v>19852.640027220001</v>
      </c>
      <c r="F26" s="179">
        <v>759.00824999999986</v>
      </c>
      <c r="G26" s="180">
        <f t="shared" si="1"/>
        <v>20611.64827722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v>0</v>
      </c>
      <c r="F27" s="179">
        <v>0</v>
      </c>
      <c r="G27" s="180">
        <f t="shared" si="1"/>
        <v>0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v>0</v>
      </c>
      <c r="F28" s="179">
        <v>0</v>
      </c>
      <c r="G28" s="180">
        <f t="shared" si="1"/>
        <v>0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24004.364554169999</v>
      </c>
      <c r="F29" s="182">
        <f>SUM(F25:F28)</f>
        <v>759.00824999999986</v>
      </c>
      <c r="G29" s="183">
        <f t="shared" si="1"/>
        <v>24763.372804169998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v>6515.2285751366717</v>
      </c>
      <c r="F30" s="179">
        <v>0</v>
      </c>
      <c r="G30" s="180">
        <f t="shared" si="1"/>
        <v>6515.2285751366717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10322.512199999997</v>
      </c>
      <c r="G31" s="180">
        <f t="shared" si="1"/>
        <v>10322.512199999997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v>0</v>
      </c>
      <c r="F32" s="179"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v>0</v>
      </c>
      <c r="F33" s="179">
        <v>10322.512199999997</v>
      </c>
      <c r="G33" s="180">
        <f>E33+F33</f>
        <v>10322.512199999997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v>0</v>
      </c>
      <c r="F34" s="179"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v>0</v>
      </c>
      <c r="F35" s="179"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v>3737.4625257798366</v>
      </c>
      <c r="F36" s="179">
        <v>0</v>
      </c>
      <c r="G36" s="180">
        <f t="shared" si="1"/>
        <v>3737.4625257798366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v>0</v>
      </c>
      <c r="F37" s="179"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10252.691100916509</v>
      </c>
      <c r="F38" s="182">
        <f>F37+F36+F31+F30</f>
        <v>10322.512199999997</v>
      </c>
      <c r="G38" s="183">
        <f t="shared" si="1"/>
        <v>20575.203300916506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v>0</v>
      </c>
      <c r="F39" s="23"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v>0</v>
      </c>
      <c r="F40" s="23">
        <v>0</v>
      </c>
      <c r="G40" s="177">
        <f t="shared" si="1"/>
        <v>0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>
        <f>E18</f>
        <v>0.65</v>
      </c>
      <c r="F41" s="283">
        <f t="shared" ref="F41:G41" si="2">F18</f>
        <v>0.65</v>
      </c>
      <c r="G41" s="249">
        <f t="shared" si="2"/>
        <v>0.65</v>
      </c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>
        <f>E19</f>
        <v>1</v>
      </c>
      <c r="F42" s="247">
        <f>F19</f>
        <v>1</v>
      </c>
      <c r="G42" s="248">
        <f>G19</f>
        <v>1</v>
      </c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E41*E40/E42</f>
        <v>0</v>
      </c>
      <c r="F43" s="188">
        <f>F41*F40/F42</f>
        <v>0</v>
      </c>
      <c r="G43" s="189">
        <f t="shared" ref="G43:G47" si="3">E43+F43</f>
        <v>0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v>1100.0446224767998</v>
      </c>
      <c r="G44" s="177">
        <f>F44</f>
        <v>1100.0446224767998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41150.064978286508</v>
      </c>
      <c r="F45" s="192">
        <f>F24+F29+F38+F39+F43+F44</f>
        <v>12181.565072476797</v>
      </c>
      <c r="G45" s="192">
        <f>E45+F45</f>
        <v>53331.630050763306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v>0</v>
      </c>
      <c r="F46" s="23">
        <v>0</v>
      </c>
      <c r="G46" s="177">
        <f t="shared" si="3"/>
        <v>0</v>
      </c>
      <c r="H46" s="56"/>
      <c r="I46" s="1"/>
      <c r="L46" s="1"/>
      <c r="M46" s="1"/>
      <c r="N46" s="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101998.2586045065</v>
      </c>
      <c r="F47" s="192">
        <f>F22+F45-F46</f>
        <v>31034.779365451679</v>
      </c>
      <c r="G47" s="192">
        <f t="shared" si="3"/>
        <v>133033.03796995818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v>0</v>
      </c>
      <c r="F48" s="194">
        <v>7062.1163612999981</v>
      </c>
      <c r="G48" s="195">
        <f>E48+F48</f>
        <v>7062.1163612999981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v>0</v>
      </c>
      <c r="F51" s="196">
        <v>0</v>
      </c>
      <c r="G51" s="174">
        <f t="shared" ref="G51:G62" si="4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v>0</v>
      </c>
      <c r="F52" s="175">
        <v>0</v>
      </c>
      <c r="G52" s="177">
        <f t="shared" si="4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>
        <v>1</v>
      </c>
      <c r="F53" s="252">
        <f>+E53</f>
        <v>1</v>
      </c>
      <c r="G53" s="251">
        <f>E53</f>
        <v>1</v>
      </c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v>0</v>
      </c>
      <c r="F54" s="193"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v>0</v>
      </c>
      <c r="F55" s="198">
        <v>0</v>
      </c>
      <c r="G55" s="199">
        <f>E55+F55</f>
        <v>0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>
        <v>1</v>
      </c>
      <c r="F56" s="256">
        <f>+E56</f>
        <v>1</v>
      </c>
      <c r="G56" s="245">
        <f>F56</f>
        <v>1</v>
      </c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v>0</v>
      </c>
      <c r="F57" s="193">
        <v>0</v>
      </c>
      <c r="G57" s="197">
        <f>E57+F57</f>
        <v>0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v>0</v>
      </c>
      <c r="F58" s="198"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v>0</v>
      </c>
      <c r="F59" s="200"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>
        <v>0</v>
      </c>
      <c r="F60" s="259">
        <f>+E60</f>
        <v>0</v>
      </c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60848.193626219989</v>
      </c>
      <c r="F61" s="202">
        <f>F22+F51+F52+F54+F57+F58</f>
        <v>18853.214292974884</v>
      </c>
      <c r="G61" s="202">
        <f>G22+G51+G52+G54+G57+G58</f>
        <v>79701.407919194869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v>0</v>
      </c>
      <c r="F62" s="203">
        <v>0</v>
      </c>
      <c r="G62" s="204">
        <f t="shared" si="4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v>0</v>
      </c>
      <c r="F63" s="205">
        <v>0</v>
      </c>
      <c r="G63" s="206">
        <f>E63+F63</f>
        <v>0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>
        <f>E56</f>
        <v>1</v>
      </c>
      <c r="F64" s="260">
        <f>F56</f>
        <v>1</v>
      </c>
      <c r="G64" s="261">
        <f>G56</f>
        <v>1</v>
      </c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v>0</v>
      </c>
      <c r="F65" s="193">
        <v>0</v>
      </c>
      <c r="G65" s="197">
        <f>E65+F65</f>
        <v>0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v>0</v>
      </c>
      <c r="F66" s="198"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v>0</v>
      </c>
      <c r="F67" s="200"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>
        <f>E60</f>
        <v>0</v>
      </c>
      <c r="F68" s="263">
        <f>F60</f>
        <v>0</v>
      </c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41150.064978286508</v>
      </c>
      <c r="F69" s="208">
        <f>F45+F62+F65+F66</f>
        <v>12181.565072476797</v>
      </c>
      <c r="G69" s="209">
        <f>G45+G62+G65+G66</f>
        <v>53331.630050763306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101998.2586045065</v>
      </c>
      <c r="F70" s="173">
        <f>F61+F69-F46</f>
        <v>31034.779365451679</v>
      </c>
      <c r="G70" s="173">
        <f>G61+G69-G46</f>
        <v>133033.03796995818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>
        <v>0.81200000000000006</v>
      </c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>
        <v>238639</v>
      </c>
      <c r="F74" s="212"/>
      <c r="G74" s="213">
        <f>E74+F74</f>
        <v>238639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>
        <v>40.755412987818417</v>
      </c>
      <c r="F75" s="265">
        <f>+E75</f>
        <v>40.755412987818417</v>
      </c>
      <c r="G75" s="266">
        <f>E75</f>
        <v>40.755412987818417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>
        <v>37.4</v>
      </c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>
        <v>0</v>
      </c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>
        <v>-0.20699999999999999</v>
      </c>
      <c r="F80" s="270">
        <f>+E80</f>
        <v>-0.20699999999999999</v>
      </c>
      <c r="G80" s="271">
        <f>+F80</f>
        <v>-0.20699999999999999</v>
      </c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>
        <v>-0.113</v>
      </c>
      <c r="F81" s="273">
        <f t="shared" ref="F81:G82" si="5">+E81</f>
        <v>-0.113</v>
      </c>
      <c r="G81" s="274">
        <f t="shared" si="5"/>
        <v>-0.113</v>
      </c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>
        <v>-0.03</v>
      </c>
      <c r="F82" s="273">
        <f t="shared" si="5"/>
        <v>-0.03</v>
      </c>
      <c r="G82" s="274">
        <f t="shared" si="5"/>
        <v>-0.03</v>
      </c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-0.35</v>
      </c>
      <c r="F83" s="276">
        <f>SUM(F80:F82)</f>
        <v>-0.35</v>
      </c>
      <c r="G83" s="276">
        <f>SUM(G80:G82)</f>
        <v>-0.35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0.65</v>
      </c>
      <c r="F84" s="278">
        <f>1+F83</f>
        <v>0.65</v>
      </c>
      <c r="G84" s="278">
        <f>1+G83</f>
        <v>0.65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>
        <v>1E-3</v>
      </c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>
        <v>0</v>
      </c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>
        <v>0</v>
      </c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>
        <v>0</v>
      </c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1.6E-2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1.016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133033.03796995818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v>65438.578963953274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+G97-G95</f>
        <v>36999.956316046708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v>102438.53527999998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1.2986620475032451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IF(G94&lt;=G97*G93,G94,G97*G93)</f>
        <v>104077.55184447998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IF(G98&lt;=G93,0,G94-G100)</f>
        <v>28955.486125478201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>
        <v>-1175.1131624509289</v>
      </c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>
        <v>1175.1131624509289</v>
      </c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>
        <v>0</v>
      </c>
      <c r="F107" s="203">
        <v>0</v>
      </c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6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0</v>
      </c>
      <c r="F111" s="227">
        <f>F112+F113</f>
        <v>0</v>
      </c>
      <c r="G111" s="228">
        <f t="shared" si="6"/>
        <v>0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0</v>
      </c>
      <c r="F112" s="229">
        <f>F120*F20</f>
        <v>0</v>
      </c>
      <c r="G112" s="230">
        <f t="shared" si="6"/>
        <v>0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0</v>
      </c>
      <c r="F113" s="231">
        <f>F120*F43</f>
        <v>0</v>
      </c>
      <c r="G113" s="232">
        <f t="shared" si="6"/>
        <v>0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0</v>
      </c>
      <c r="F119" s="237">
        <f>F17+F40</f>
        <v>0</v>
      </c>
      <c r="G119" s="238">
        <f>E119+F119</f>
        <v>0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0</v>
      </c>
      <c r="F120" s="240">
        <f>MAX(0,F19-1)</f>
        <v>0</v>
      </c>
      <c r="G120" s="241">
        <f>MAX(0,G19-1)</f>
        <v>0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9">
    <pageSetUpPr fitToPage="1"/>
  </sheetPr>
  <dimension ref="A1:AL254"/>
  <sheetViews>
    <sheetView zoomScaleNormal="100" workbookViewId="0">
      <pane xSplit="4" ySplit="5" topLeftCell="E98" activePane="bottomRight" state="frozen"/>
      <selection activeCell="N110" sqref="N110"/>
      <selection pane="topRight" activeCell="N110" sqref="N110"/>
      <selection pane="bottomLeft" activeCell="N110" sqref="N110"/>
      <selection pane="bottomRight" activeCell="N110" sqref="N110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29.664062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1.5" thickBot="1" x14ac:dyDescent="0.4">
      <c r="A4" s="1"/>
      <c r="B4" s="46"/>
      <c r="C4" s="3" t="s">
        <v>0</v>
      </c>
      <c r="D4" s="4"/>
      <c r="E4" s="294" t="s">
        <v>156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v>7259.7519894899988</v>
      </c>
      <c r="F6" s="23">
        <v>0</v>
      </c>
      <c r="G6" s="170">
        <f>E6+F6</f>
        <v>7259.7519894899988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v>0</v>
      </c>
      <c r="F7" s="23">
        <v>6929.9018527225189</v>
      </c>
      <c r="G7" s="170">
        <f t="shared" ref="G7:G17" si="0">E7+F7</f>
        <v>6929.9018527225189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v>0</v>
      </c>
      <c r="F8" s="23">
        <v>9425.3192394874786</v>
      </c>
      <c r="G8" s="170">
        <f t="shared" si="0"/>
        <v>9425.3192394874786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v>55940.557602929985</v>
      </c>
      <c r="F9" s="23">
        <v>0</v>
      </c>
      <c r="G9" s="170">
        <f t="shared" si="0"/>
        <v>55940.557602929985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v>0</v>
      </c>
      <c r="F10" s="23"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v>70.972331429999983</v>
      </c>
      <c r="F11" s="23">
        <v>0</v>
      </c>
      <c r="G11" s="170">
        <f t="shared" si="0"/>
        <v>70.972331429999983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>
        <v>0.6</v>
      </c>
      <c r="F12" s="253">
        <f>+E12</f>
        <v>0.6</v>
      </c>
      <c r="G12" s="243">
        <f>E12</f>
        <v>0.6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E12*E11</f>
        <v>42.583398857999988</v>
      </c>
      <c r="F13" s="171">
        <f>F12*F11</f>
        <v>0</v>
      </c>
      <c r="G13" s="170">
        <f t="shared" si="0"/>
        <v>42.583398857999988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v>0</v>
      </c>
      <c r="F14" s="23">
        <v>4632.4499921699989</v>
      </c>
      <c r="G14" s="170">
        <f t="shared" si="0"/>
        <v>4632.4499921699989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>
        <v>0.72599999999999998</v>
      </c>
      <c r="F15" s="253">
        <f>+E15</f>
        <v>0.72599999999999998</v>
      </c>
      <c r="G15" s="243">
        <f>E15</f>
        <v>0.72599999999999998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E15*E14</f>
        <v>0</v>
      </c>
      <c r="F16" s="171">
        <f>F15*F14</f>
        <v>3363.1586943154193</v>
      </c>
      <c r="G16" s="170">
        <f t="shared" si="0"/>
        <v>3363.1586943154193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v>-22395.506798960007</v>
      </c>
      <c r="F17" s="23">
        <v>17607.480725647703</v>
      </c>
      <c r="G17" s="170">
        <f t="shared" si="0"/>
        <v>-4788.0260733123032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>
        <v>0.65</v>
      </c>
      <c r="F18" s="253">
        <f>+E18</f>
        <v>0.65</v>
      </c>
      <c r="G18" s="243">
        <f>F18</f>
        <v>0.65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>
        <v>1</v>
      </c>
      <c r="F19" s="254">
        <f>+E19</f>
        <v>1</v>
      </c>
      <c r="G19" s="245">
        <f>E19</f>
        <v>1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E18*E17/E19</f>
        <v>-14557.079419324005</v>
      </c>
      <c r="F20" s="171">
        <f>F18*F17/F19</f>
        <v>11444.862471671007</v>
      </c>
      <c r="G20" s="170">
        <f>E20+F20</f>
        <v>-3112.216947652998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v>9307.0522665119934</v>
      </c>
      <c r="G21" s="170">
        <f>F21</f>
        <v>9307.0522665119934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48600.646774237975</v>
      </c>
      <c r="F22" s="173">
        <f>F6+F7+F8+F9+F10-F13-F16+F20+F21</f>
        <v>33743.977136077578</v>
      </c>
      <c r="G22" s="173">
        <f>E22+F22</f>
        <v>82344.623910315553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v>2699.0130967800001</v>
      </c>
      <c r="F24" s="23">
        <v>0</v>
      </c>
      <c r="G24" s="174">
        <f t="shared" ref="G24:G40" si="1">E24+F24</f>
        <v>2699.0130967800001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v>0</v>
      </c>
      <c r="F25" s="176">
        <v>2805.3653327699994</v>
      </c>
      <c r="G25" s="177">
        <f t="shared" si="1"/>
        <v>2805.3653327699994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v>23939.373207749992</v>
      </c>
      <c r="F26" s="179">
        <v>3965.8687067999995</v>
      </c>
      <c r="G26" s="180">
        <f t="shared" si="1"/>
        <v>27905.241914549992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v>0</v>
      </c>
      <c r="F27" s="179">
        <v>0</v>
      </c>
      <c r="G27" s="180">
        <f t="shared" si="1"/>
        <v>0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v>0</v>
      </c>
      <c r="F28" s="179">
        <v>0</v>
      </c>
      <c r="G28" s="180">
        <f t="shared" si="1"/>
        <v>0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23939.373207749992</v>
      </c>
      <c r="F29" s="182">
        <f>SUM(F25:F28)</f>
        <v>6771.2340395699994</v>
      </c>
      <c r="G29" s="183">
        <f t="shared" si="1"/>
        <v>30710.607247319989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v>7441.0236144867104</v>
      </c>
      <c r="F30" s="179">
        <v>0</v>
      </c>
      <c r="G30" s="180">
        <f t="shared" si="1"/>
        <v>7441.0236144867104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102079.97083283999</v>
      </c>
      <c r="G31" s="180">
        <f t="shared" si="1"/>
        <v>102079.97083283999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v>0</v>
      </c>
      <c r="F32" s="179"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v>0</v>
      </c>
      <c r="F33" s="179">
        <v>102079.97083283999</v>
      </c>
      <c r="G33" s="180">
        <f>E33+F33</f>
        <v>102079.97083283999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v>0</v>
      </c>
      <c r="F34" s="179"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v>0</v>
      </c>
      <c r="F35" s="179"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v>4457.9920079368949</v>
      </c>
      <c r="F36" s="179">
        <v>0</v>
      </c>
      <c r="G36" s="180">
        <f t="shared" si="1"/>
        <v>4457.9920079368949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v>0</v>
      </c>
      <c r="F37" s="179"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11899.015622423605</v>
      </c>
      <c r="F38" s="182">
        <f>F37+F36+F31+F30</f>
        <v>102079.97083283999</v>
      </c>
      <c r="G38" s="183">
        <f t="shared" si="1"/>
        <v>113978.9864552636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v>0</v>
      </c>
      <c r="F39" s="23"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v>-4431.8549098670501</v>
      </c>
      <c r="F40" s="23">
        <v>1937.7382382205797</v>
      </c>
      <c r="G40" s="177">
        <f t="shared" si="1"/>
        <v>-2494.1166716464704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>
        <f>E18</f>
        <v>0.65</v>
      </c>
      <c r="F41" s="283">
        <f t="shared" ref="F41:G41" si="2">F18</f>
        <v>0.65</v>
      </c>
      <c r="G41" s="249">
        <f t="shared" si="2"/>
        <v>0.65</v>
      </c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>
        <f>E19</f>
        <v>1</v>
      </c>
      <c r="F42" s="247">
        <f>F19</f>
        <v>1</v>
      </c>
      <c r="G42" s="248">
        <f>G19</f>
        <v>1</v>
      </c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E41*E40/E42</f>
        <v>-2880.7056914135828</v>
      </c>
      <c r="F43" s="188">
        <f>F41*F40/F42</f>
        <v>1259.5298548433768</v>
      </c>
      <c r="G43" s="189">
        <f t="shared" ref="G43:G47" si="3">E43+F43</f>
        <v>-1621.175836570206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v>482.58351741599989</v>
      </c>
      <c r="G44" s="177">
        <f>F44</f>
        <v>482.58351741599989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35656.69623554001</v>
      </c>
      <c r="F45" s="192">
        <f>F24+F29+F38+F39+F43+F44</f>
        <v>110593.31824466937</v>
      </c>
      <c r="G45" s="192">
        <f>E45+F45</f>
        <v>146250.01448020939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v>0</v>
      </c>
      <c r="F46" s="23">
        <v>0</v>
      </c>
      <c r="G46" s="177">
        <f t="shared" si="3"/>
        <v>0</v>
      </c>
      <c r="H46" s="56"/>
      <c r="I46" s="1"/>
      <c r="L46" s="1"/>
      <c r="M46" s="1"/>
      <c r="N46" s="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84257.343009777978</v>
      </c>
      <c r="F47" s="192">
        <f>F22+F45-F46</f>
        <v>144337.29538074695</v>
      </c>
      <c r="G47" s="192">
        <f t="shared" si="3"/>
        <v>228594.63839052492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v>0</v>
      </c>
      <c r="F48" s="194">
        <v>7978.3810005899977</v>
      </c>
      <c r="G48" s="195">
        <f>E48+F48</f>
        <v>7978.3810005899977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v>0</v>
      </c>
      <c r="F51" s="196">
        <v>0</v>
      </c>
      <c r="G51" s="174">
        <f t="shared" ref="G51:G62" si="4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v>0</v>
      </c>
      <c r="F52" s="175">
        <v>0</v>
      </c>
      <c r="G52" s="177">
        <f t="shared" si="4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>
        <v>1</v>
      </c>
      <c r="F53" s="252">
        <f>+E53</f>
        <v>1</v>
      </c>
      <c r="G53" s="251">
        <f>E53</f>
        <v>1</v>
      </c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v>0</v>
      </c>
      <c r="F54" s="193"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v>0</v>
      </c>
      <c r="F55" s="198">
        <v>0</v>
      </c>
      <c r="G55" s="199">
        <f>E55+F55</f>
        <v>0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>
        <v>1</v>
      </c>
      <c r="F56" s="256">
        <f>+E56</f>
        <v>1</v>
      </c>
      <c r="G56" s="245">
        <f>F56</f>
        <v>1</v>
      </c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v>0</v>
      </c>
      <c r="F57" s="193">
        <v>0</v>
      </c>
      <c r="G57" s="197">
        <f>E57+F57</f>
        <v>0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v>0</v>
      </c>
      <c r="F58" s="198"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v>0</v>
      </c>
      <c r="F59" s="200"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>
        <v>0</v>
      </c>
      <c r="F60" s="259">
        <f>+E60</f>
        <v>0</v>
      </c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48600.646774237975</v>
      </c>
      <c r="F61" s="202">
        <f>F22+F51+F52+F54+F57+F58</f>
        <v>33743.977136077578</v>
      </c>
      <c r="G61" s="202">
        <f>G22+G51+G52+G54+G57+G58</f>
        <v>82344.623910315553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v>0</v>
      </c>
      <c r="F62" s="203">
        <v>0</v>
      </c>
      <c r="G62" s="204">
        <f t="shared" si="4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v>0</v>
      </c>
      <c r="F63" s="205">
        <v>0</v>
      </c>
      <c r="G63" s="206">
        <f>E63+F63</f>
        <v>0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>
        <f>E56</f>
        <v>1</v>
      </c>
      <c r="F64" s="260">
        <f>F56</f>
        <v>1</v>
      </c>
      <c r="G64" s="261">
        <f>G56</f>
        <v>1</v>
      </c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v>0</v>
      </c>
      <c r="F65" s="193">
        <v>0</v>
      </c>
      <c r="G65" s="197">
        <f>E65+F65</f>
        <v>0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v>0</v>
      </c>
      <c r="F66" s="198"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v>0</v>
      </c>
      <c r="F67" s="200"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>
        <f>E60</f>
        <v>0</v>
      </c>
      <c r="F68" s="263">
        <f>F60</f>
        <v>0</v>
      </c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35656.69623554001</v>
      </c>
      <c r="F69" s="208">
        <f>F45+F62+F65+F66</f>
        <v>110593.31824466937</v>
      </c>
      <c r="G69" s="209">
        <f>G45+G62+G65+G66</f>
        <v>146250.01448020939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84257.343009777978</v>
      </c>
      <c r="F70" s="173">
        <f>F61+F69-F46</f>
        <v>144337.29538074695</v>
      </c>
      <c r="G70" s="173">
        <f>G61+G69-G46</f>
        <v>228594.63839052495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>
        <v>0.80940000000000001</v>
      </c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>
        <v>236273</v>
      </c>
      <c r="F74" s="212"/>
      <c r="G74" s="213">
        <f>E74+F74</f>
        <v>236273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>
        <v>47.760948217451087</v>
      </c>
      <c r="F75" s="265">
        <f>+E75</f>
        <v>47.760948217451087</v>
      </c>
      <c r="G75" s="266">
        <f>E75</f>
        <v>47.760948217451087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>
        <v>27.308800000000002</v>
      </c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>
        <v>0</v>
      </c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>
        <v>-0.20699999999999999</v>
      </c>
      <c r="F80" s="270">
        <f>+E80</f>
        <v>-0.20699999999999999</v>
      </c>
      <c r="G80" s="271">
        <f>+F80</f>
        <v>-0.20699999999999999</v>
      </c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>
        <v>-0.113</v>
      </c>
      <c r="F81" s="273">
        <f t="shared" ref="F81:G82" si="5">+E81</f>
        <v>-0.113</v>
      </c>
      <c r="G81" s="274">
        <f t="shared" si="5"/>
        <v>-0.113</v>
      </c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>
        <v>-0.03</v>
      </c>
      <c r="F82" s="273">
        <f t="shared" si="5"/>
        <v>-0.03</v>
      </c>
      <c r="G82" s="274">
        <f t="shared" si="5"/>
        <v>-0.03</v>
      </c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-0.35</v>
      </c>
      <c r="F83" s="276">
        <f>SUM(F80:F82)</f>
        <v>-0.35</v>
      </c>
      <c r="G83" s="276">
        <f>SUM(G80:G82)</f>
        <v>-0.35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0.65</v>
      </c>
      <c r="F84" s="278">
        <f>1+F83</f>
        <v>0.65</v>
      </c>
      <c r="G84" s="278">
        <f>1+G83</f>
        <v>0.65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>
        <v>1E-3</v>
      </c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>
        <v>0</v>
      </c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>
        <v>0</v>
      </c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>
        <v>0</v>
      </c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1.6E-2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1.016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228594.63839052495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v>72824.827401296527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+G97-G95</f>
        <v>38096.440675551814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v>110921.26807684834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2.0608729268416792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IF(G94&lt;=G97*G93,G94,G97*G93)</f>
        <v>112696.00836607792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IF(G98&lt;=G93,0,G94-G100)</f>
        <v>115898.63002444703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>
        <v>0</v>
      </c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>
        <v>0</v>
      </c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>
        <v>0</v>
      </c>
      <c r="F107" s="203">
        <v>0</v>
      </c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6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0</v>
      </c>
      <c r="F111" s="227">
        <f>F112+F113</f>
        <v>0</v>
      </c>
      <c r="G111" s="228">
        <f t="shared" si="6"/>
        <v>0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0</v>
      </c>
      <c r="F112" s="229">
        <f>F120*F20</f>
        <v>0</v>
      </c>
      <c r="G112" s="230">
        <f t="shared" si="6"/>
        <v>0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0</v>
      </c>
      <c r="F113" s="231">
        <f>F120*F43</f>
        <v>0</v>
      </c>
      <c r="G113" s="232">
        <f t="shared" si="6"/>
        <v>0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-26827.361708827055</v>
      </c>
      <c r="F119" s="237">
        <f>F17+F40</f>
        <v>19545.218963868283</v>
      </c>
      <c r="G119" s="238">
        <f>E119+F119</f>
        <v>-7282.1427449587718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0</v>
      </c>
      <c r="F120" s="240">
        <f>MAX(0,F19-1)</f>
        <v>0</v>
      </c>
      <c r="G120" s="241">
        <f>MAX(0,G19-1)</f>
        <v>0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16">
    <pageSetUpPr fitToPage="1"/>
  </sheetPr>
  <dimension ref="A1:AL254"/>
  <sheetViews>
    <sheetView zoomScaleNormal="100" workbookViewId="0">
      <pane xSplit="4" ySplit="5" topLeftCell="E98" activePane="bottomRight" state="frozen"/>
      <selection activeCell="N110" sqref="N110"/>
      <selection pane="topRight" activeCell="N110" sqref="N110"/>
      <selection pane="bottomLeft" activeCell="N110" sqref="N110"/>
      <selection pane="bottomRight" activeCell="N110" sqref="N110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29.664062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1.5" thickBot="1" x14ac:dyDescent="0.4">
      <c r="A4" s="1"/>
      <c r="B4" s="46"/>
      <c r="C4" s="3" t="s">
        <v>0</v>
      </c>
      <c r="D4" s="4"/>
      <c r="E4" s="294" t="s">
        <v>155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v>605.06113667999989</v>
      </c>
      <c r="F6" s="23">
        <v>0</v>
      </c>
      <c r="G6" s="170">
        <f>E6+F6</f>
        <v>605.06113667999989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v>0</v>
      </c>
      <c r="F7" s="23">
        <v>8722.8359757745202</v>
      </c>
      <c r="G7" s="170">
        <f t="shared" ref="G7:G17" si="0">E7+F7</f>
        <v>8722.8359757745202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v>0</v>
      </c>
      <c r="F8" s="23">
        <v>11649.846144015473</v>
      </c>
      <c r="G8" s="170">
        <f t="shared" si="0"/>
        <v>11649.846144015473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v>71090.169990839975</v>
      </c>
      <c r="F9" s="23">
        <v>0</v>
      </c>
      <c r="G9" s="170">
        <f t="shared" si="0"/>
        <v>71090.169990839975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v>0</v>
      </c>
      <c r="F10" s="23"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v>468.57121310999986</v>
      </c>
      <c r="F11" s="23">
        <v>0</v>
      </c>
      <c r="G11" s="170">
        <f t="shared" si="0"/>
        <v>468.57121310999986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>
        <v>0.6</v>
      </c>
      <c r="F12" s="253">
        <f>+E12</f>
        <v>0.6</v>
      </c>
      <c r="G12" s="243">
        <f>E12</f>
        <v>0.6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E12*E11</f>
        <v>281.14272786599992</v>
      </c>
      <c r="F13" s="171">
        <f>F12*F11</f>
        <v>0</v>
      </c>
      <c r="G13" s="170">
        <f t="shared" si="0"/>
        <v>281.14272786599992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v>0</v>
      </c>
      <c r="F14" s="23">
        <v>6044.5162897642012</v>
      </c>
      <c r="G14" s="170">
        <f t="shared" si="0"/>
        <v>6044.5162897642012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>
        <v>0.72599999999999998</v>
      </c>
      <c r="F15" s="253">
        <f>+E15</f>
        <v>0.72599999999999998</v>
      </c>
      <c r="G15" s="243">
        <f>E15</f>
        <v>0.72599999999999998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E15*E14</f>
        <v>0</v>
      </c>
      <c r="F16" s="171">
        <f>F15*F14</f>
        <v>4388.3188263688098</v>
      </c>
      <c r="G16" s="170">
        <f t="shared" si="0"/>
        <v>4388.3188263688098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v>-7496.8009898727396</v>
      </c>
      <c r="F17" s="23">
        <v>10336.835392616485</v>
      </c>
      <c r="G17" s="170">
        <f t="shared" si="0"/>
        <v>2840.0344027437459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>
        <v>0.65</v>
      </c>
      <c r="F18" s="253">
        <f>+E18</f>
        <v>0.65</v>
      </c>
      <c r="G18" s="243">
        <f>F18</f>
        <v>0.65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>
        <v>1</v>
      </c>
      <c r="F19" s="254">
        <f>+E19</f>
        <v>1</v>
      </c>
      <c r="G19" s="245">
        <f>E19</f>
        <v>1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E18*E17/E19</f>
        <v>-4872.9206434172811</v>
      </c>
      <c r="F20" s="171">
        <f>F18*F17/F19</f>
        <v>6718.9430052007156</v>
      </c>
      <c r="G20" s="170">
        <f>E20+F20</f>
        <v>1846.0223617834345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v>9996.8239726471547</v>
      </c>
      <c r="G21" s="170">
        <f>F21</f>
        <v>9996.8239726471547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66541.167756236697</v>
      </c>
      <c r="F22" s="173">
        <f>F6+F7+F8+F9+F10-F13-F16+F20+F21</f>
        <v>32700.130271269052</v>
      </c>
      <c r="G22" s="173">
        <f>E22+F22</f>
        <v>99241.298027505749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v>3122.2563371999995</v>
      </c>
      <c r="F24" s="23">
        <v>359.26390499999991</v>
      </c>
      <c r="G24" s="174">
        <f t="shared" ref="G24:G40" si="1">E24+F24</f>
        <v>3481.5202421999993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v>0</v>
      </c>
      <c r="F25" s="176">
        <v>1898.5326359999997</v>
      </c>
      <c r="G25" s="177">
        <f t="shared" si="1"/>
        <v>1898.5326359999997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v>13670.963115809996</v>
      </c>
      <c r="F26" s="179">
        <v>15921.969062999997</v>
      </c>
      <c r="G26" s="180">
        <f t="shared" si="1"/>
        <v>29592.932178809991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v>0</v>
      </c>
      <c r="F27" s="179">
        <v>0</v>
      </c>
      <c r="G27" s="180">
        <f t="shared" si="1"/>
        <v>0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v>0</v>
      </c>
      <c r="F28" s="179">
        <v>0</v>
      </c>
      <c r="G28" s="180">
        <f t="shared" si="1"/>
        <v>0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13670.963115809996</v>
      </c>
      <c r="F29" s="182">
        <f>SUM(F25:F28)</f>
        <v>17820.501698999997</v>
      </c>
      <c r="G29" s="183">
        <f t="shared" si="1"/>
        <v>31491.464814809995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v>8167.852222511121</v>
      </c>
      <c r="F30" s="179">
        <v>0</v>
      </c>
      <c r="G30" s="180">
        <f t="shared" si="1"/>
        <v>8167.852222511121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0</v>
      </c>
      <c r="G31" s="180">
        <f t="shared" si="1"/>
        <v>0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v>0</v>
      </c>
      <c r="F32" s="179"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v>0</v>
      </c>
      <c r="F33" s="179">
        <v>0</v>
      </c>
      <c r="G33" s="180">
        <f>E33+F33</f>
        <v>0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v>0</v>
      </c>
      <c r="F34" s="179"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v>0</v>
      </c>
      <c r="F35" s="179"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v>4319.1020700895415</v>
      </c>
      <c r="F36" s="179">
        <v>0</v>
      </c>
      <c r="G36" s="180">
        <f t="shared" si="1"/>
        <v>4319.1020700895415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v>0</v>
      </c>
      <c r="F37" s="179"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12486.954292600662</v>
      </c>
      <c r="F38" s="182">
        <f>F37+F36+F31+F30</f>
        <v>0</v>
      </c>
      <c r="G38" s="183">
        <f t="shared" si="1"/>
        <v>12486.954292600662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v>0</v>
      </c>
      <c r="F39" s="23"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v>-3301.8225318618424</v>
      </c>
      <c r="F40" s="23">
        <v>-2594.571754206685</v>
      </c>
      <c r="G40" s="177">
        <f t="shared" si="1"/>
        <v>-5896.3942860685274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>
        <f>E18</f>
        <v>0.65</v>
      </c>
      <c r="F41" s="283">
        <f t="shared" ref="F41:G41" si="2">F18</f>
        <v>0.65</v>
      </c>
      <c r="G41" s="249">
        <f t="shared" si="2"/>
        <v>0.65</v>
      </c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>
        <f>E19</f>
        <v>1</v>
      </c>
      <c r="F42" s="247">
        <f>F19</f>
        <v>1</v>
      </c>
      <c r="G42" s="248">
        <f>G19</f>
        <v>1</v>
      </c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E41*E40/E42</f>
        <v>-2146.1846457101979</v>
      </c>
      <c r="F43" s="188">
        <f>F41*F40/F42</f>
        <v>-1686.4716402343454</v>
      </c>
      <c r="G43" s="189">
        <f t="shared" ref="G43:G47" si="3">E43+F43</f>
        <v>-3832.656285944543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v>87.049138175999971</v>
      </c>
      <c r="G44" s="177">
        <f>F44</f>
        <v>87.049138175999971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27133.98909990046</v>
      </c>
      <c r="F45" s="192">
        <f>F24+F29+F38+F39+F43+F44</f>
        <v>16580.343101941653</v>
      </c>
      <c r="G45" s="192">
        <f>E45+F45</f>
        <v>43714.332201842117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v>0</v>
      </c>
      <c r="F46" s="23">
        <v>0</v>
      </c>
      <c r="G46" s="177">
        <f t="shared" si="3"/>
        <v>0</v>
      </c>
      <c r="H46" s="56"/>
      <c r="I46" s="1"/>
      <c r="L46" s="1"/>
      <c r="M46" s="1"/>
      <c r="N46" s="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93675.156856137153</v>
      </c>
      <c r="F47" s="192">
        <f>F22+F45-F46</f>
        <v>49280.473373210705</v>
      </c>
      <c r="G47" s="192">
        <f t="shared" si="3"/>
        <v>142955.63022934785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v>0</v>
      </c>
      <c r="F48" s="194">
        <v>705.37166699999989</v>
      </c>
      <c r="G48" s="195">
        <f>E48+F48</f>
        <v>705.37166699999989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v>0</v>
      </c>
      <c r="F51" s="196">
        <v>0</v>
      </c>
      <c r="G51" s="174">
        <f t="shared" ref="G51:G62" si="4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v>0</v>
      </c>
      <c r="F52" s="175">
        <v>0</v>
      </c>
      <c r="G52" s="177">
        <f t="shared" si="4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>
        <v>1</v>
      </c>
      <c r="F53" s="252">
        <f>+E53</f>
        <v>1</v>
      </c>
      <c r="G53" s="251">
        <f>E53</f>
        <v>1</v>
      </c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v>0</v>
      </c>
      <c r="F54" s="193"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v>0</v>
      </c>
      <c r="F55" s="198">
        <v>0</v>
      </c>
      <c r="G55" s="199">
        <f>E55+F55</f>
        <v>0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>
        <v>1</v>
      </c>
      <c r="F56" s="256">
        <f>+E56</f>
        <v>1</v>
      </c>
      <c r="G56" s="245">
        <f>F56</f>
        <v>1</v>
      </c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v>0</v>
      </c>
      <c r="F57" s="193">
        <v>0</v>
      </c>
      <c r="G57" s="197">
        <f>E57+F57</f>
        <v>0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v>0</v>
      </c>
      <c r="F58" s="198"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v>0</v>
      </c>
      <c r="F59" s="200"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>
        <v>0</v>
      </c>
      <c r="F60" s="259">
        <f>+E60</f>
        <v>0</v>
      </c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66541.167756236697</v>
      </c>
      <c r="F61" s="202">
        <f>F22+F51+F52+F54+F57+F58</f>
        <v>32700.130271269052</v>
      </c>
      <c r="G61" s="202">
        <f>G22+G51+G52+G54+G57+G58</f>
        <v>99241.298027505749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v>0</v>
      </c>
      <c r="F62" s="203">
        <v>0</v>
      </c>
      <c r="G62" s="204">
        <f t="shared" si="4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v>0</v>
      </c>
      <c r="F63" s="205">
        <v>0</v>
      </c>
      <c r="G63" s="206">
        <f>E63+F63</f>
        <v>0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>
        <f>E56</f>
        <v>1</v>
      </c>
      <c r="F64" s="260">
        <f>F56</f>
        <v>1</v>
      </c>
      <c r="G64" s="261">
        <f>G56</f>
        <v>1</v>
      </c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v>0</v>
      </c>
      <c r="F65" s="193">
        <v>0</v>
      </c>
      <c r="G65" s="197">
        <f>E65+F65</f>
        <v>0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v>0</v>
      </c>
      <c r="F66" s="198"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v>0</v>
      </c>
      <c r="F67" s="200"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>
        <f>E60</f>
        <v>0</v>
      </c>
      <c r="F68" s="263">
        <f>F60</f>
        <v>0</v>
      </c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27133.98909990046</v>
      </c>
      <c r="F69" s="208">
        <f>F45+F62+F65+F66</f>
        <v>16580.343101941653</v>
      </c>
      <c r="G69" s="209">
        <f>G45+G62+G65+G66</f>
        <v>43714.332201842117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93675.156856137153</v>
      </c>
      <c r="F70" s="173">
        <f>F61+F69-F46</f>
        <v>49280.473373210705</v>
      </c>
      <c r="G70" s="173">
        <f>G61+G69-G46</f>
        <v>142955.63022934785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>
        <v>0.80149999999999999</v>
      </c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>
        <v>281547</v>
      </c>
      <c r="F74" s="212"/>
      <c r="G74" s="213">
        <f>E74+F74</f>
        <v>281547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>
        <v>44.388681108305185</v>
      </c>
      <c r="F75" s="265">
        <f>+E75</f>
        <v>44.388681108305185</v>
      </c>
      <c r="G75" s="266">
        <f>E75</f>
        <v>44.388681108305185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>
        <v>29.873999999999999</v>
      </c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>
        <v>0</v>
      </c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>
        <v>-0.20699999999999999</v>
      </c>
      <c r="F80" s="270">
        <f>+E80</f>
        <v>-0.20699999999999999</v>
      </c>
      <c r="G80" s="271">
        <f>+F80</f>
        <v>-0.20699999999999999</v>
      </c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>
        <v>-0.113</v>
      </c>
      <c r="F81" s="273">
        <f t="shared" ref="F81:G82" si="5">+E81</f>
        <v>-0.113</v>
      </c>
      <c r="G81" s="274">
        <f t="shared" si="5"/>
        <v>-0.113</v>
      </c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>
        <v>-0.03</v>
      </c>
      <c r="F82" s="273">
        <f t="shared" si="5"/>
        <v>-0.03</v>
      </c>
      <c r="G82" s="274">
        <f t="shared" si="5"/>
        <v>-0.03</v>
      </c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-0.35</v>
      </c>
      <c r="F83" s="276">
        <f>SUM(F80:F82)</f>
        <v>-0.35</v>
      </c>
      <c r="G83" s="276">
        <f>SUM(G80:G82)</f>
        <v>-0.35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0.65</v>
      </c>
      <c r="F84" s="278">
        <f>1+F83</f>
        <v>0.65</v>
      </c>
      <c r="G84" s="278">
        <f>1+G83</f>
        <v>0.65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>
        <v>1E-3</v>
      </c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>
        <v>0</v>
      </c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>
        <v>0</v>
      </c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>
        <v>0</v>
      </c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1.6E-2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1.016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142955.63022934785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v>84796.065986100279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+G97-G95</f>
        <v>40740.939532691002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v>125537.00551879128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1.1387529090611392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IF(G94&lt;=G97*G93,G94,G97*G93)</f>
        <v>127545.59760709194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IF(G98&lt;=G93,0,G94-G100)</f>
        <v>15410.032622255909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>
        <v>0</v>
      </c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>
        <v>0</v>
      </c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>
        <v>0</v>
      </c>
      <c r="F107" s="203">
        <v>0</v>
      </c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6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0</v>
      </c>
      <c r="F111" s="227">
        <f>F112+F113</f>
        <v>0</v>
      </c>
      <c r="G111" s="228">
        <f t="shared" si="6"/>
        <v>0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0</v>
      </c>
      <c r="F112" s="229">
        <f>F120*F20</f>
        <v>0</v>
      </c>
      <c r="G112" s="230">
        <f t="shared" si="6"/>
        <v>0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0</v>
      </c>
      <c r="F113" s="231">
        <f>F120*F43</f>
        <v>0</v>
      </c>
      <c r="G113" s="232">
        <f t="shared" si="6"/>
        <v>0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-10798.623521734582</v>
      </c>
      <c r="F119" s="237">
        <f>F17+F40</f>
        <v>7742.2636384098005</v>
      </c>
      <c r="G119" s="238">
        <f>E119+F119</f>
        <v>-3056.3598833247815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0</v>
      </c>
      <c r="F120" s="240">
        <f>MAX(0,F19-1)</f>
        <v>0</v>
      </c>
      <c r="G120" s="241">
        <f>MAX(0,G19-1)</f>
        <v>0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15">
    <pageSetUpPr fitToPage="1"/>
  </sheetPr>
  <dimension ref="A1:AL254"/>
  <sheetViews>
    <sheetView zoomScaleNormal="100" workbookViewId="0">
      <pane xSplit="4" ySplit="5" topLeftCell="E98" activePane="bottomRight" state="frozen"/>
      <selection activeCell="N110" sqref="N110"/>
      <selection pane="topRight" activeCell="N110" sqref="N110"/>
      <selection pane="bottomLeft" activeCell="N110" sqref="N110"/>
      <selection pane="bottomRight" activeCell="N110" sqref="N110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29.664062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1.5" thickBot="1" x14ac:dyDescent="0.4">
      <c r="A4" s="1"/>
      <c r="B4" s="46"/>
      <c r="C4" s="3" t="s">
        <v>0</v>
      </c>
      <c r="D4" s="4"/>
      <c r="E4" s="294" t="s">
        <v>154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v>535.2323776799999</v>
      </c>
      <c r="F6" s="23">
        <v>0</v>
      </c>
      <c r="G6" s="170">
        <f>E6+F6</f>
        <v>535.2323776799999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v>0</v>
      </c>
      <c r="F7" s="23">
        <v>6591.5776347510127</v>
      </c>
      <c r="G7" s="170">
        <f t="shared" ref="G7:G17" si="0">E7+F7</f>
        <v>6591.5776347510127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v>0</v>
      </c>
      <c r="F8" s="23">
        <v>10958.747487578976</v>
      </c>
      <c r="G8" s="170">
        <f t="shared" si="0"/>
        <v>10958.747487578976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v>62991.07631816998</v>
      </c>
      <c r="F9" s="23">
        <v>0</v>
      </c>
      <c r="G9" s="170">
        <f t="shared" si="0"/>
        <v>62991.07631816998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v>0</v>
      </c>
      <c r="F10" s="23"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v>950.8855355999998</v>
      </c>
      <c r="F11" s="23">
        <v>0</v>
      </c>
      <c r="G11" s="170">
        <f t="shared" si="0"/>
        <v>950.8855355999998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>
        <v>0.6</v>
      </c>
      <c r="F12" s="253">
        <f>+E12</f>
        <v>0.6</v>
      </c>
      <c r="G12" s="243">
        <f>E12</f>
        <v>0.6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E12*E11</f>
        <v>570.53132135999988</v>
      </c>
      <c r="F13" s="171">
        <f>F12*F11</f>
        <v>0</v>
      </c>
      <c r="G13" s="170">
        <f t="shared" si="0"/>
        <v>570.53132135999988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v>0</v>
      </c>
      <c r="F14" s="23">
        <v>5875.5886456907465</v>
      </c>
      <c r="G14" s="170">
        <f t="shared" si="0"/>
        <v>5875.5886456907465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>
        <v>0.72599999999999998</v>
      </c>
      <c r="F15" s="253">
        <f>+E15</f>
        <v>0.72599999999999998</v>
      </c>
      <c r="G15" s="243">
        <f>E15</f>
        <v>0.72599999999999998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E15*E14</f>
        <v>0</v>
      </c>
      <c r="F16" s="171">
        <f>F15*F14</f>
        <v>4265.6773567714818</v>
      </c>
      <c r="G16" s="170">
        <f t="shared" si="0"/>
        <v>4265.6773567714818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v>-3355.1176511661906</v>
      </c>
      <c r="F17" s="23">
        <v>11077.820205340078</v>
      </c>
      <c r="G17" s="170">
        <f t="shared" si="0"/>
        <v>7722.7025541738876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>
        <v>0.65</v>
      </c>
      <c r="F18" s="253">
        <f>+E18</f>
        <v>0.65</v>
      </c>
      <c r="G18" s="243">
        <f>F18</f>
        <v>0.65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>
        <v>1</v>
      </c>
      <c r="F19" s="254">
        <f>+E19</f>
        <v>1</v>
      </c>
      <c r="G19" s="245">
        <f>E19</f>
        <v>1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E18*E17/E19</f>
        <v>-2180.8264732580242</v>
      </c>
      <c r="F20" s="171">
        <f>F18*F17/F19</f>
        <v>7200.583133471051</v>
      </c>
      <c r="G20" s="170">
        <f>E20+F20</f>
        <v>5019.7566602130264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v>8175.7950254201787</v>
      </c>
      <c r="G21" s="170">
        <f>F21</f>
        <v>8175.7950254201787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60774.950901231954</v>
      </c>
      <c r="F22" s="173">
        <f>F6+F7+F8+F9+F10-F13-F16+F20+F21</f>
        <v>28661.025924449736</v>
      </c>
      <c r="G22" s="173">
        <f>E22+F22</f>
        <v>89435.97682568169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v>2372.9127922499997</v>
      </c>
      <c r="F24" s="23">
        <v>2209.8069793799996</v>
      </c>
      <c r="G24" s="174">
        <f t="shared" ref="G24:G40" si="1">E24+F24</f>
        <v>4582.7197716299997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v>0</v>
      </c>
      <c r="F25" s="176">
        <v>2910.5436359999994</v>
      </c>
      <c r="G25" s="177">
        <f t="shared" si="1"/>
        <v>2910.5436359999994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v>11795.625771930001</v>
      </c>
      <c r="F26" s="179">
        <v>0</v>
      </c>
      <c r="G26" s="180">
        <f t="shared" si="1"/>
        <v>11795.625771930001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v>0</v>
      </c>
      <c r="F27" s="179">
        <v>0</v>
      </c>
      <c r="G27" s="180">
        <f t="shared" si="1"/>
        <v>0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v>0</v>
      </c>
      <c r="F28" s="179">
        <v>0</v>
      </c>
      <c r="G28" s="180">
        <f t="shared" si="1"/>
        <v>0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11795.625771930001</v>
      </c>
      <c r="F29" s="182">
        <f>SUM(F25:F28)</f>
        <v>2910.5436359999994</v>
      </c>
      <c r="G29" s="183">
        <f t="shared" si="1"/>
        <v>14706.16940793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v>6631.2240497877583</v>
      </c>
      <c r="F30" s="179">
        <v>0</v>
      </c>
      <c r="G30" s="180">
        <f t="shared" si="1"/>
        <v>6631.2240497877583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0</v>
      </c>
      <c r="G31" s="180">
        <f t="shared" si="1"/>
        <v>0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v>0</v>
      </c>
      <c r="F32" s="179"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v>0</v>
      </c>
      <c r="F33" s="179">
        <v>0</v>
      </c>
      <c r="G33" s="180">
        <f>E33+F33</f>
        <v>0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v>0</v>
      </c>
      <c r="F34" s="179"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v>0</v>
      </c>
      <c r="F35" s="179"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v>3431.7386634620002</v>
      </c>
      <c r="F36" s="179">
        <v>0</v>
      </c>
      <c r="G36" s="180">
        <f t="shared" si="1"/>
        <v>3431.7386634620002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v>0</v>
      </c>
      <c r="F37" s="179"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10062.962713249759</v>
      </c>
      <c r="F38" s="182">
        <f>F37+F36+F31+F30</f>
        <v>0</v>
      </c>
      <c r="G38" s="183">
        <f t="shared" si="1"/>
        <v>10062.962713249759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v>0</v>
      </c>
      <c r="F39" s="23"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v>-3690.504330926351</v>
      </c>
      <c r="F40" s="23">
        <v>-4071.3438378128321</v>
      </c>
      <c r="G40" s="177">
        <f t="shared" si="1"/>
        <v>-7761.8481687391832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>
        <f>E18</f>
        <v>0.65</v>
      </c>
      <c r="F41" s="283">
        <f t="shared" ref="F41:G41" si="2">F18</f>
        <v>0.65</v>
      </c>
      <c r="G41" s="249">
        <f t="shared" si="2"/>
        <v>0.65</v>
      </c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>
        <f>E19</f>
        <v>1</v>
      </c>
      <c r="F42" s="247">
        <f>F19</f>
        <v>1</v>
      </c>
      <c r="G42" s="248">
        <f>G19</f>
        <v>1</v>
      </c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E41*E40/E42</f>
        <v>-2398.8278151021282</v>
      </c>
      <c r="F43" s="188">
        <f>F41*F40/F42</f>
        <v>-2646.3734945783408</v>
      </c>
      <c r="G43" s="189">
        <f t="shared" ref="G43:G47" si="3">E43+F43</f>
        <v>-5045.2013096804694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v>98.148874823999975</v>
      </c>
      <c r="G44" s="177">
        <f>F44</f>
        <v>98.148874823999975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21832.673462327628</v>
      </c>
      <c r="F45" s="192">
        <f>F24+F29+F38+F39+F43+F44</f>
        <v>2572.1259956256581</v>
      </c>
      <c r="G45" s="192">
        <f>E45+F45</f>
        <v>24404.799457953286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v>0</v>
      </c>
      <c r="F46" s="23">
        <v>0</v>
      </c>
      <c r="G46" s="177">
        <f t="shared" si="3"/>
        <v>0</v>
      </c>
      <c r="H46" s="56"/>
      <c r="I46" s="1"/>
      <c r="L46" s="1"/>
      <c r="M46" s="1"/>
      <c r="N46" s="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82607.624363559589</v>
      </c>
      <c r="F47" s="192">
        <f>F22+F45-F46</f>
        <v>31233.151920075394</v>
      </c>
      <c r="G47" s="192">
        <f t="shared" si="3"/>
        <v>113840.77628363499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v>0</v>
      </c>
      <c r="F48" s="194">
        <v>121.67408252999998</v>
      </c>
      <c r="G48" s="195">
        <f>E48+F48</f>
        <v>121.67408252999998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v>0</v>
      </c>
      <c r="F51" s="196">
        <v>0</v>
      </c>
      <c r="G51" s="174">
        <f t="shared" ref="G51:G62" si="4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v>0</v>
      </c>
      <c r="F52" s="175">
        <v>0</v>
      </c>
      <c r="G52" s="177">
        <f t="shared" si="4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>
        <v>1</v>
      </c>
      <c r="F53" s="252">
        <f>+E53</f>
        <v>1</v>
      </c>
      <c r="G53" s="251">
        <f>E53</f>
        <v>1</v>
      </c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v>0</v>
      </c>
      <c r="F54" s="193"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v>0</v>
      </c>
      <c r="F55" s="198">
        <v>0</v>
      </c>
      <c r="G55" s="199">
        <f>E55+F55</f>
        <v>0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>
        <v>1</v>
      </c>
      <c r="F56" s="256">
        <f>+E56</f>
        <v>1</v>
      </c>
      <c r="G56" s="245">
        <f>F56</f>
        <v>1</v>
      </c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v>0</v>
      </c>
      <c r="F57" s="193">
        <v>0</v>
      </c>
      <c r="G57" s="197">
        <f>E57+F57</f>
        <v>0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v>0</v>
      </c>
      <c r="F58" s="198"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v>0</v>
      </c>
      <c r="F59" s="200"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>
        <v>0</v>
      </c>
      <c r="F60" s="259">
        <f>+E60</f>
        <v>0</v>
      </c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60774.950901231954</v>
      </c>
      <c r="F61" s="202">
        <f>F22+F51+F52+F54+F57+F58</f>
        <v>28661.025924449736</v>
      </c>
      <c r="G61" s="202">
        <f>G22+G51+G52+G54+G57+G58</f>
        <v>89435.97682568169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v>0</v>
      </c>
      <c r="F62" s="203">
        <v>0</v>
      </c>
      <c r="G62" s="204">
        <f t="shared" si="4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v>0</v>
      </c>
      <c r="F63" s="205">
        <v>0</v>
      </c>
      <c r="G63" s="206">
        <f>E63+F63</f>
        <v>0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>
        <f>E56</f>
        <v>1</v>
      </c>
      <c r="F64" s="260">
        <f>F56</f>
        <v>1</v>
      </c>
      <c r="G64" s="261">
        <f>G56</f>
        <v>1</v>
      </c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v>0</v>
      </c>
      <c r="F65" s="193">
        <v>0</v>
      </c>
      <c r="G65" s="197">
        <f>E65+F65</f>
        <v>0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v>0</v>
      </c>
      <c r="F66" s="198"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v>0</v>
      </c>
      <c r="F67" s="200"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>
        <f>E60</f>
        <v>0</v>
      </c>
      <c r="F68" s="263">
        <f>F60</f>
        <v>0</v>
      </c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21832.673462327628</v>
      </c>
      <c r="F69" s="208">
        <f>F45+F62+F65+F66</f>
        <v>2572.1259956256581</v>
      </c>
      <c r="G69" s="209">
        <f>G45+G62+G65+G66</f>
        <v>24404.799457953286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82607.624363559589</v>
      </c>
      <c r="F70" s="173">
        <f>F61+F69-F46</f>
        <v>31233.151920075394</v>
      </c>
      <c r="G70" s="173">
        <f>G61+G69-G46</f>
        <v>113840.77628363497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>
        <v>0.84819999999999995</v>
      </c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>
        <v>284757</v>
      </c>
      <c r="F74" s="212"/>
      <c r="G74" s="213">
        <f>E74+F74</f>
        <v>284757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>
        <v>31.819014106764712</v>
      </c>
      <c r="F75" s="265">
        <f>+E75</f>
        <v>31.819014106764712</v>
      </c>
      <c r="G75" s="266">
        <f>E75</f>
        <v>31.819014106764712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>
        <v>31.689999999999998</v>
      </c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>
        <v>0</v>
      </c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>
        <v>-0.20699999999999999</v>
      </c>
      <c r="F80" s="270">
        <f>+E80</f>
        <v>-0.20699999999999999</v>
      </c>
      <c r="G80" s="271">
        <f>+F80</f>
        <v>-0.20699999999999999</v>
      </c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>
        <v>-0.113</v>
      </c>
      <c r="F81" s="273">
        <f t="shared" ref="F81:G82" si="5">+E81</f>
        <v>-0.113</v>
      </c>
      <c r="G81" s="274">
        <f t="shared" si="5"/>
        <v>-0.113</v>
      </c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>
        <v>-0.03</v>
      </c>
      <c r="F82" s="273">
        <f t="shared" si="5"/>
        <v>-0.03</v>
      </c>
      <c r="G82" s="274">
        <f t="shared" si="5"/>
        <v>-0.03</v>
      </c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-0.35</v>
      </c>
      <c r="F83" s="276">
        <f>SUM(F80:F82)</f>
        <v>-0.35</v>
      </c>
      <c r="G83" s="276">
        <f>SUM(G80:G82)</f>
        <v>-0.35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0.65</v>
      </c>
      <c r="F84" s="278">
        <f>1+F83</f>
        <v>0.65</v>
      </c>
      <c r="G84" s="278">
        <f>1+G83</f>
        <v>0.65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>
        <v>1E-3</v>
      </c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>
        <v>0</v>
      </c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>
        <v>0</v>
      </c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>
        <v>0</v>
      </c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1.6E-2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1.016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113840.77628363497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v>65523.222840354683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+G97-G95</f>
        <v>26517.879956276207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v>92041.10279663089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1.2368471565923267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IF(G94&lt;=G97*G93,G94,G97*G93)</f>
        <v>93513.760441376988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IF(G98&lt;=G93,0,G94-G100)</f>
        <v>20327.015842257984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>
        <v>-10808.10941725607</v>
      </c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>
        <v>10808.10941725607</v>
      </c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>
        <v>0</v>
      </c>
      <c r="F107" s="203">
        <v>0</v>
      </c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6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0</v>
      </c>
      <c r="F111" s="227">
        <f>F112+F113</f>
        <v>0</v>
      </c>
      <c r="G111" s="228">
        <f t="shared" si="6"/>
        <v>0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0</v>
      </c>
      <c r="F112" s="229">
        <f>F120*F20</f>
        <v>0</v>
      </c>
      <c r="G112" s="230">
        <f t="shared" si="6"/>
        <v>0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0</v>
      </c>
      <c r="F113" s="231">
        <f>F120*F43</f>
        <v>0</v>
      </c>
      <c r="G113" s="232">
        <f t="shared" si="6"/>
        <v>0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-7045.6219820925417</v>
      </c>
      <c r="F119" s="237">
        <f>F17+F40</f>
        <v>7006.4763675272461</v>
      </c>
      <c r="G119" s="238">
        <f>E119+F119</f>
        <v>-39.145614565295546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0</v>
      </c>
      <c r="F120" s="240">
        <f>MAX(0,F19-1)</f>
        <v>0</v>
      </c>
      <c r="G120" s="241">
        <f>MAX(0,G19-1)</f>
        <v>0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14">
    <pageSetUpPr fitToPage="1"/>
  </sheetPr>
  <dimension ref="A1:AL254"/>
  <sheetViews>
    <sheetView zoomScaleNormal="100" workbookViewId="0">
      <pane xSplit="4" ySplit="5" topLeftCell="E98" activePane="bottomRight" state="frozen"/>
      <selection activeCell="N110" sqref="N110"/>
      <selection pane="topRight" activeCell="N110" sqref="N110"/>
      <selection pane="bottomLeft" activeCell="N110" sqref="N110"/>
      <selection pane="bottomRight" activeCell="N110" sqref="N110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29.664062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1.5" thickBot="1" x14ac:dyDescent="0.4">
      <c r="A4" s="1"/>
      <c r="B4" s="46"/>
      <c r="C4" s="3" t="s">
        <v>0</v>
      </c>
      <c r="D4" s="4"/>
      <c r="E4" s="294" t="s">
        <v>153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v>9586.962364979996</v>
      </c>
      <c r="F6" s="23">
        <v>0</v>
      </c>
      <c r="G6" s="170">
        <f>E6+F6</f>
        <v>9586.962364979996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v>0</v>
      </c>
      <c r="F7" s="23">
        <v>27901.376032529992</v>
      </c>
      <c r="G7" s="170">
        <f t="shared" ref="G7:G17" si="0">E7+F7</f>
        <v>27901.376032529992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v>0</v>
      </c>
      <c r="F8" s="23">
        <v>1990.2208325999995</v>
      </c>
      <c r="G8" s="170">
        <f t="shared" si="0"/>
        <v>1990.2208325999995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v>12057.149654549998</v>
      </c>
      <c r="F9" s="23">
        <v>0</v>
      </c>
      <c r="G9" s="170">
        <f t="shared" si="0"/>
        <v>12057.149654549998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v>0</v>
      </c>
      <c r="F10" s="23"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v>0</v>
      </c>
      <c r="F11" s="23">
        <v>0</v>
      </c>
      <c r="G11" s="170">
        <f t="shared" si="0"/>
        <v>0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>
        <v>0.6</v>
      </c>
      <c r="F12" s="253">
        <f>+E12</f>
        <v>0.6</v>
      </c>
      <c r="G12" s="243">
        <f>E12</f>
        <v>0.6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E12*E11</f>
        <v>0</v>
      </c>
      <c r="F13" s="171">
        <f>F12*F11</f>
        <v>0</v>
      </c>
      <c r="G13" s="170">
        <f t="shared" si="0"/>
        <v>0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v>0</v>
      </c>
      <c r="F14" s="23">
        <v>1203.7162437299999</v>
      </c>
      <c r="G14" s="170">
        <f t="shared" si="0"/>
        <v>1203.7162437299999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>
        <v>0.72599999999999998</v>
      </c>
      <c r="F15" s="253">
        <f>+E15</f>
        <v>0.72599999999999998</v>
      </c>
      <c r="G15" s="243">
        <f>E15</f>
        <v>0.72599999999999998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E15*E14</f>
        <v>0</v>
      </c>
      <c r="F16" s="171">
        <f>F15*F14</f>
        <v>873.8979929479799</v>
      </c>
      <c r="G16" s="170">
        <f t="shared" si="0"/>
        <v>873.8979929479799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v>-2203.2803709200052</v>
      </c>
      <c r="F17" s="23">
        <v>-4229.1441229240045</v>
      </c>
      <c r="G17" s="170">
        <f t="shared" si="0"/>
        <v>-6432.4244938440097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>
        <v>0.65</v>
      </c>
      <c r="F18" s="253">
        <f>+E18</f>
        <v>0.65</v>
      </c>
      <c r="G18" s="243">
        <f>F18</f>
        <v>0.65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>
        <v>2</v>
      </c>
      <c r="F19" s="254">
        <f>+E19</f>
        <v>2</v>
      </c>
      <c r="G19" s="245">
        <f>E19</f>
        <v>2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E18*E17/E19</f>
        <v>-716.06612054900177</v>
      </c>
      <c r="F20" s="171">
        <f>F18*F17/F19</f>
        <v>-1374.4718399503015</v>
      </c>
      <c r="G20" s="170">
        <f>E20+F20</f>
        <v>-2090.5379604993032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v>5173.5763219139999</v>
      </c>
      <c r="G21" s="170">
        <f>F21</f>
        <v>5173.5763219139999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20928.045898980992</v>
      </c>
      <c r="F22" s="173">
        <f>F6+F7+F8+F9+F10-F13-F16+F20+F21</f>
        <v>32816.803354145712</v>
      </c>
      <c r="G22" s="173">
        <f>E22+F22</f>
        <v>53744.849253126704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v>0</v>
      </c>
      <c r="F24" s="23">
        <v>8602.0934999999972</v>
      </c>
      <c r="G24" s="174">
        <f t="shared" ref="G24:G40" si="1">E24+F24</f>
        <v>8602.0934999999972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v>0</v>
      </c>
      <c r="F25" s="176">
        <v>4458.1108571999985</v>
      </c>
      <c r="G25" s="177">
        <f t="shared" si="1"/>
        <v>4458.1108571999985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v>6482.9627062199979</v>
      </c>
      <c r="F26" s="179">
        <v>2513.4001592699997</v>
      </c>
      <c r="G26" s="180">
        <f t="shared" si="1"/>
        <v>8996.3628654899985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v>0</v>
      </c>
      <c r="F27" s="179">
        <v>266.43213596999993</v>
      </c>
      <c r="G27" s="180">
        <f t="shared" si="1"/>
        <v>266.43213596999993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v>0</v>
      </c>
      <c r="F28" s="179">
        <v>0</v>
      </c>
      <c r="G28" s="180">
        <f t="shared" si="1"/>
        <v>0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6482.9627062199979</v>
      </c>
      <c r="F29" s="182">
        <f>SUM(F25:F28)</f>
        <v>7237.9431524399979</v>
      </c>
      <c r="G29" s="183">
        <f t="shared" si="1"/>
        <v>13720.905858659997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v>591.48029748123827</v>
      </c>
      <c r="F30" s="179">
        <v>0</v>
      </c>
      <c r="G30" s="180">
        <f t="shared" si="1"/>
        <v>591.48029748123827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0</v>
      </c>
      <c r="G31" s="180">
        <f t="shared" si="1"/>
        <v>0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v>0</v>
      </c>
      <c r="F32" s="179"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v>0</v>
      </c>
      <c r="F33" s="179">
        <v>0</v>
      </c>
      <c r="G33" s="180">
        <f>E33+F33</f>
        <v>0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v>0</v>
      </c>
      <c r="F34" s="179"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v>0</v>
      </c>
      <c r="F35" s="179"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v>480.4958484823465</v>
      </c>
      <c r="F36" s="179">
        <v>0</v>
      </c>
      <c r="G36" s="180">
        <f t="shared" si="1"/>
        <v>480.4958484823465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v>0</v>
      </c>
      <c r="F37" s="179"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1071.9761459635847</v>
      </c>
      <c r="F38" s="182">
        <f>F37+F36+F31+F30</f>
        <v>0</v>
      </c>
      <c r="G38" s="183">
        <f t="shared" si="1"/>
        <v>1071.9761459635847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v>0</v>
      </c>
      <c r="F39" s="23"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v>-11615.72741842329</v>
      </c>
      <c r="F40" s="23">
        <v>12751.596005822998</v>
      </c>
      <c r="G40" s="177">
        <f t="shared" si="1"/>
        <v>1135.8685873997074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>
        <f>E18</f>
        <v>0.65</v>
      </c>
      <c r="F41" s="283">
        <f t="shared" ref="F41:G41" si="2">F18</f>
        <v>0.65</v>
      </c>
      <c r="G41" s="249">
        <f t="shared" si="2"/>
        <v>0.65</v>
      </c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>
        <f>E19</f>
        <v>2</v>
      </c>
      <c r="F42" s="247">
        <f>F19</f>
        <v>2</v>
      </c>
      <c r="G42" s="248">
        <f>G19</f>
        <v>2</v>
      </c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E41*E40/E42</f>
        <v>-3775.1114109875693</v>
      </c>
      <c r="F43" s="188">
        <f>F41*F40/F42</f>
        <v>4144.2687018924744</v>
      </c>
      <c r="G43" s="189">
        <f t="shared" ref="G43:G47" si="3">E43+F43</f>
        <v>369.15729090490504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v>0</v>
      </c>
      <c r="G44" s="177">
        <f>F44</f>
        <v>0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3779.8274411960133</v>
      </c>
      <c r="F45" s="192">
        <f>F24+F29+F38+F39+F43+F44</f>
        <v>19984.305354332468</v>
      </c>
      <c r="G45" s="192">
        <f>E45+F45</f>
        <v>23764.13279552848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v>0</v>
      </c>
      <c r="F46" s="23">
        <v>0</v>
      </c>
      <c r="G46" s="177">
        <f t="shared" si="3"/>
        <v>0</v>
      </c>
      <c r="H46" s="56"/>
      <c r="I46" s="1"/>
      <c r="L46" s="1"/>
      <c r="M46" s="1"/>
      <c r="N46" s="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24707.873340177004</v>
      </c>
      <c r="F47" s="192">
        <f>F22+F45-F46</f>
        <v>52801.108708478176</v>
      </c>
      <c r="G47" s="192">
        <f t="shared" si="3"/>
        <v>77508.982048655176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v>0</v>
      </c>
      <c r="F48" s="194">
        <v>0</v>
      </c>
      <c r="G48" s="195">
        <f>E48+F48</f>
        <v>0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v>0</v>
      </c>
      <c r="F51" s="196">
        <v>0</v>
      </c>
      <c r="G51" s="174">
        <f t="shared" ref="G51:G62" si="4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v>0</v>
      </c>
      <c r="F52" s="175">
        <v>0</v>
      </c>
      <c r="G52" s="177">
        <f t="shared" si="4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>
        <v>1</v>
      </c>
      <c r="F53" s="252">
        <f>+E53</f>
        <v>1</v>
      </c>
      <c r="G53" s="251">
        <f>E53</f>
        <v>1</v>
      </c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v>0</v>
      </c>
      <c r="F54" s="193"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v>0</v>
      </c>
      <c r="F55" s="198">
        <v>0</v>
      </c>
      <c r="G55" s="199">
        <f>E55+F55</f>
        <v>0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>
        <v>1</v>
      </c>
      <c r="F56" s="256">
        <f>+E56</f>
        <v>1</v>
      </c>
      <c r="G56" s="245">
        <f>F56</f>
        <v>1</v>
      </c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v>0</v>
      </c>
      <c r="F57" s="193">
        <v>0</v>
      </c>
      <c r="G57" s="197">
        <f>E57+F57</f>
        <v>0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v>0</v>
      </c>
      <c r="F58" s="198"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v>0</v>
      </c>
      <c r="F59" s="200"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>
        <v>0</v>
      </c>
      <c r="F60" s="259">
        <f>+E60</f>
        <v>0</v>
      </c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20928.045898980992</v>
      </c>
      <c r="F61" s="202">
        <f>F22+F51+F52+F54+F57+F58</f>
        <v>32816.803354145712</v>
      </c>
      <c r="G61" s="202">
        <f>G22+G51+G52+G54+G57+G58</f>
        <v>53744.849253126704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v>0</v>
      </c>
      <c r="F62" s="203">
        <v>0</v>
      </c>
      <c r="G62" s="204">
        <f t="shared" si="4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v>0</v>
      </c>
      <c r="F63" s="205">
        <v>0</v>
      </c>
      <c r="G63" s="206">
        <f>E63+F63</f>
        <v>0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>
        <f>E56</f>
        <v>1</v>
      </c>
      <c r="F64" s="260">
        <f>F56</f>
        <v>1</v>
      </c>
      <c r="G64" s="261">
        <f>G56</f>
        <v>1</v>
      </c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v>0</v>
      </c>
      <c r="F65" s="193">
        <v>0</v>
      </c>
      <c r="G65" s="197">
        <f>E65+F65</f>
        <v>0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v>0</v>
      </c>
      <c r="F66" s="198"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v>0</v>
      </c>
      <c r="F67" s="200"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>
        <f>E60</f>
        <v>0</v>
      </c>
      <c r="F68" s="263">
        <f>F60</f>
        <v>0</v>
      </c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3779.8274411960133</v>
      </c>
      <c r="F69" s="208">
        <f>F45+F62+F65+F66</f>
        <v>19984.305354332468</v>
      </c>
      <c r="G69" s="209">
        <f>G45+G62+G65+G66</f>
        <v>23764.13279552848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24707.873340177004</v>
      </c>
      <c r="F70" s="173">
        <f>F61+F69-F46</f>
        <v>52801.108708478176</v>
      </c>
      <c r="G70" s="173">
        <f>G61+G69-G46</f>
        <v>77508.982048655191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>
        <v>0.22009999999999999</v>
      </c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>
        <v>233660</v>
      </c>
      <c r="F74" s="212"/>
      <c r="G74" s="213">
        <f>E74+F74</f>
        <v>233660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>
        <v>34.921347256697764</v>
      </c>
      <c r="F75" s="265">
        <f>+E75</f>
        <v>34.921347256697764</v>
      </c>
      <c r="G75" s="266">
        <f>E75</f>
        <v>34.921347256697764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>
        <v>28.402999999999995</v>
      </c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>
        <v>0</v>
      </c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>
        <v>-0.20699999999999999</v>
      </c>
      <c r="F80" s="270">
        <f>+E80</f>
        <v>-0.20699999999999999</v>
      </c>
      <c r="G80" s="271">
        <f>+F80</f>
        <v>-0.20699999999999999</v>
      </c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>
        <v>-0.113</v>
      </c>
      <c r="F81" s="273">
        <f t="shared" ref="F81:G82" si="5">+E81</f>
        <v>-0.113</v>
      </c>
      <c r="G81" s="274">
        <f t="shared" si="5"/>
        <v>-0.113</v>
      </c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>
        <v>-0.03</v>
      </c>
      <c r="F82" s="273">
        <f t="shared" si="5"/>
        <v>-0.03</v>
      </c>
      <c r="G82" s="274">
        <f t="shared" si="5"/>
        <v>-0.03</v>
      </c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-0.35</v>
      </c>
      <c r="F83" s="276">
        <f>SUM(F80:F82)</f>
        <v>-0.35</v>
      </c>
      <c r="G83" s="276">
        <f>SUM(G80:G82)</f>
        <v>-0.35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0.65</v>
      </c>
      <c r="F84" s="278">
        <f>1+F83</f>
        <v>0.65</v>
      </c>
      <c r="G84" s="278">
        <f>1+G83</f>
        <v>0.65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>
        <v>1E-3</v>
      </c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>
        <v>0</v>
      </c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>
        <v>0</v>
      </c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>
        <v>0</v>
      </c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1.6E-2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1.016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77508.982048655191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v>52892.167615827624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+G97-G95</f>
        <v>23204.058469922515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v>76096.226085750139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1.0185653880037766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IF(G94&lt;=G97*G93,G94,G97*G93)</f>
        <v>77313.765703122146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IF(G98&lt;=G93,0,G94-G100)</f>
        <v>195.21634553304466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>
        <v>0</v>
      </c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>
        <v>0</v>
      </c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>
        <v>0</v>
      </c>
      <c r="F107" s="203">
        <v>0</v>
      </c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6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-4491.1775315365712</v>
      </c>
      <c r="F111" s="227">
        <f>F112+F113</f>
        <v>2769.7968619421727</v>
      </c>
      <c r="G111" s="228">
        <f t="shared" si="6"/>
        <v>-1721.3806695943986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-716.06612054900177</v>
      </c>
      <c r="F112" s="229">
        <f>F120*F20</f>
        <v>-1374.4718399503015</v>
      </c>
      <c r="G112" s="230">
        <f t="shared" si="6"/>
        <v>-2090.5379604993032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-3775.1114109875693</v>
      </c>
      <c r="F113" s="231">
        <f>F120*F43</f>
        <v>4144.2687018924744</v>
      </c>
      <c r="G113" s="232">
        <f t="shared" si="6"/>
        <v>369.15729090490504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-13819.007789343295</v>
      </c>
      <c r="F119" s="237">
        <f>F17+F40</f>
        <v>8522.4518828989931</v>
      </c>
      <c r="G119" s="238">
        <f>E119+F119</f>
        <v>-5296.5559064443023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1</v>
      </c>
      <c r="F120" s="240">
        <f>MAX(0,F19-1)</f>
        <v>1</v>
      </c>
      <c r="G120" s="241">
        <f>MAX(0,G19-1)</f>
        <v>1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12">
    <pageSetUpPr fitToPage="1"/>
  </sheetPr>
  <dimension ref="A1:AL254"/>
  <sheetViews>
    <sheetView zoomScaleNormal="100" workbookViewId="0">
      <pane xSplit="4" ySplit="5" topLeftCell="E98" activePane="bottomRight" state="frozen"/>
      <selection activeCell="N110" sqref="N110"/>
      <selection pane="topRight" activeCell="N110" sqref="N110"/>
      <selection pane="bottomLeft" activeCell="N110" sqref="N110"/>
      <selection pane="bottomRight" activeCell="N110" sqref="N110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29.664062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1.5" thickBot="1" x14ac:dyDescent="0.4">
      <c r="A4" s="1"/>
      <c r="B4" s="46"/>
      <c r="C4" s="3" t="s">
        <v>0</v>
      </c>
      <c r="D4" s="4"/>
      <c r="E4" s="294" t="s">
        <v>152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v>48477.097919249987</v>
      </c>
      <c r="F6" s="23">
        <v>0</v>
      </c>
      <c r="G6" s="170">
        <f>E6+F6</f>
        <v>48477.097919249987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v>0</v>
      </c>
      <c r="F7" s="23">
        <v>65407.077294011127</v>
      </c>
      <c r="G7" s="170">
        <f t="shared" ref="G7:G17" si="0">E7+F7</f>
        <v>65407.077294011127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v>0</v>
      </c>
      <c r="F8" s="23">
        <v>79613.046514548842</v>
      </c>
      <c r="G8" s="170">
        <f t="shared" si="0"/>
        <v>79613.046514548842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v>272913.83366246999</v>
      </c>
      <c r="F9" s="23">
        <v>0</v>
      </c>
      <c r="G9" s="170">
        <f t="shared" si="0"/>
        <v>272913.83366246999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v>0</v>
      </c>
      <c r="F10" s="23"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v>742.00646519999987</v>
      </c>
      <c r="F11" s="23">
        <v>0</v>
      </c>
      <c r="G11" s="170">
        <f t="shared" si="0"/>
        <v>742.00646519999987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>
        <v>0.6</v>
      </c>
      <c r="F12" s="253">
        <f>+E12</f>
        <v>0.6</v>
      </c>
      <c r="G12" s="243">
        <f>E12</f>
        <v>0.6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E12*E11</f>
        <v>445.2038791199999</v>
      </c>
      <c r="F13" s="171">
        <f>F12*F11</f>
        <v>0</v>
      </c>
      <c r="G13" s="170">
        <f t="shared" si="0"/>
        <v>445.2038791199999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v>0</v>
      </c>
      <c r="F14" s="23">
        <v>55554.553166012221</v>
      </c>
      <c r="G14" s="170">
        <f t="shared" si="0"/>
        <v>55554.553166012221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>
        <v>0.72599999999999998</v>
      </c>
      <c r="F15" s="253">
        <f>+E15</f>
        <v>0.72599999999999998</v>
      </c>
      <c r="G15" s="243">
        <f>E15</f>
        <v>0.72599999999999998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E15*E14</f>
        <v>0</v>
      </c>
      <c r="F16" s="171">
        <f>F15*F14</f>
        <v>40332.605598524875</v>
      </c>
      <c r="G16" s="170">
        <f t="shared" si="0"/>
        <v>40332.605598524875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v>-59951.016543179518</v>
      </c>
      <c r="F17" s="23">
        <v>59045.670438611007</v>
      </c>
      <c r="G17" s="170">
        <f t="shared" si="0"/>
        <v>-905.34610456851078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>
        <v>0.33899999999999997</v>
      </c>
      <c r="F18" s="253">
        <f>+E18</f>
        <v>0.33899999999999997</v>
      </c>
      <c r="G18" s="243">
        <f>F18</f>
        <v>0.33899999999999997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>
        <v>1</v>
      </c>
      <c r="F19" s="254">
        <f>+E19</f>
        <v>1</v>
      </c>
      <c r="G19" s="245">
        <f>E19</f>
        <v>1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E18*E17/E19</f>
        <v>-20323.394608137856</v>
      </c>
      <c r="F20" s="171">
        <f>F18*F17/F19</f>
        <v>20016.482278689131</v>
      </c>
      <c r="G20" s="170">
        <f>E20+F20</f>
        <v>-306.91232944872536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v>72522.84820787597</v>
      </c>
      <c r="G21" s="170">
        <f>F21</f>
        <v>72522.84820787597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300622.33309446211</v>
      </c>
      <c r="F22" s="173">
        <f>F6+F7+F8+F9+F10-F13-F16+F20+F21</f>
        <v>197226.84869660018</v>
      </c>
      <c r="G22" s="173">
        <f>E22+F22</f>
        <v>497849.18179106229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v>26329.874751179996</v>
      </c>
      <c r="F24" s="23">
        <v>0</v>
      </c>
      <c r="G24" s="174">
        <f t="shared" ref="G24:G40" si="1">E24+F24</f>
        <v>26329.874751179996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v>0</v>
      </c>
      <c r="F25" s="176">
        <v>2938.7686227899994</v>
      </c>
      <c r="G25" s="177">
        <f t="shared" si="1"/>
        <v>2938.7686227899994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v>206417.70784634998</v>
      </c>
      <c r="F26" s="179">
        <v>2354.1096278699997</v>
      </c>
      <c r="G26" s="180">
        <f t="shared" si="1"/>
        <v>208771.81747421998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v>0</v>
      </c>
      <c r="F27" s="179">
        <v>12395.060127449999</v>
      </c>
      <c r="G27" s="180">
        <f t="shared" si="1"/>
        <v>12395.060127449999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v>0</v>
      </c>
      <c r="F28" s="179">
        <v>5906.6224417199992</v>
      </c>
      <c r="G28" s="180">
        <f t="shared" si="1"/>
        <v>5906.6224417199992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206417.70784634998</v>
      </c>
      <c r="F29" s="182">
        <f>SUM(F25:F28)</f>
        <v>23594.560819829996</v>
      </c>
      <c r="G29" s="183">
        <f t="shared" si="1"/>
        <v>230012.26866617997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v>51148.552120198619</v>
      </c>
      <c r="F30" s="179">
        <v>0</v>
      </c>
      <c r="G30" s="180">
        <f t="shared" si="1"/>
        <v>51148.552120198619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0</v>
      </c>
      <c r="G31" s="180">
        <f t="shared" si="1"/>
        <v>0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v>0</v>
      </c>
      <c r="F32" s="179"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v>0</v>
      </c>
      <c r="F33" s="179">
        <v>0</v>
      </c>
      <c r="G33" s="180">
        <f>E33+F33</f>
        <v>0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v>0</v>
      </c>
      <c r="F34" s="179"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v>0</v>
      </c>
      <c r="F35" s="179"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v>31717.280192242339</v>
      </c>
      <c r="F36" s="179">
        <v>0</v>
      </c>
      <c r="G36" s="180">
        <f t="shared" si="1"/>
        <v>31717.280192242339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v>0</v>
      </c>
      <c r="F37" s="179"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82865.832312440965</v>
      </c>
      <c r="F38" s="182">
        <f>F37+F36+F31+F30</f>
        <v>0</v>
      </c>
      <c r="G38" s="183">
        <f t="shared" si="1"/>
        <v>82865.832312440965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v>0</v>
      </c>
      <c r="F39" s="23"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v>-30089.592600024218</v>
      </c>
      <c r="F40" s="23">
        <v>31579.762018767884</v>
      </c>
      <c r="G40" s="177">
        <f t="shared" si="1"/>
        <v>1490.169418743666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>
        <f>E18</f>
        <v>0.33899999999999997</v>
      </c>
      <c r="F41" s="283">
        <f t="shared" ref="F41:G41" si="2">F18</f>
        <v>0.33899999999999997</v>
      </c>
      <c r="G41" s="249">
        <f t="shared" si="2"/>
        <v>0.33899999999999997</v>
      </c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>
        <f>E19</f>
        <v>1</v>
      </c>
      <c r="F42" s="247">
        <f>F19</f>
        <v>1</v>
      </c>
      <c r="G42" s="248">
        <f>G19</f>
        <v>1</v>
      </c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E41*E40/E42</f>
        <v>-10200.371891408209</v>
      </c>
      <c r="F43" s="188">
        <f>F41*F40/F42</f>
        <v>10705.539324362311</v>
      </c>
      <c r="G43" s="189">
        <f t="shared" ref="G43:G47" si="3">E43+F43</f>
        <v>505.16743295410197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v>2410.6830667919994</v>
      </c>
      <c r="G44" s="177">
        <f>F44</f>
        <v>2410.6830667919994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305413.04301856272</v>
      </c>
      <c r="F45" s="192">
        <f>F24+F29+F38+F39+F43+F44</f>
        <v>36710.783210984308</v>
      </c>
      <c r="G45" s="192">
        <f>E45+F45</f>
        <v>342123.82622954703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v>0</v>
      </c>
      <c r="F46" s="23">
        <v>0</v>
      </c>
      <c r="G46" s="177">
        <f t="shared" si="3"/>
        <v>0</v>
      </c>
      <c r="H46" s="56"/>
      <c r="I46" s="1"/>
      <c r="L46" s="1"/>
      <c r="M46" s="1"/>
      <c r="N46" s="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606035.37611302477</v>
      </c>
      <c r="F47" s="192">
        <f>F22+F45-F46</f>
        <v>233937.63190758449</v>
      </c>
      <c r="G47" s="192">
        <f t="shared" si="3"/>
        <v>839973.00802060927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v>0</v>
      </c>
      <c r="F48" s="194">
        <v>2279.3827356299994</v>
      </c>
      <c r="G48" s="195">
        <f>E48+F48</f>
        <v>2279.3827356299994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v>0</v>
      </c>
      <c r="F51" s="196">
        <v>0</v>
      </c>
      <c r="G51" s="174">
        <f t="shared" ref="G51:G62" si="4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v>0</v>
      </c>
      <c r="F52" s="175">
        <v>0</v>
      </c>
      <c r="G52" s="177">
        <f t="shared" si="4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>
        <v>1</v>
      </c>
      <c r="F53" s="252">
        <f>+E53</f>
        <v>1</v>
      </c>
      <c r="G53" s="251">
        <f>E53</f>
        <v>1</v>
      </c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v>0</v>
      </c>
      <c r="F54" s="193"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v>0</v>
      </c>
      <c r="F55" s="198">
        <v>0</v>
      </c>
      <c r="G55" s="199">
        <f>E55+F55</f>
        <v>0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>
        <v>1</v>
      </c>
      <c r="F56" s="256">
        <f>+E56</f>
        <v>1</v>
      </c>
      <c r="G56" s="245">
        <f>F56</f>
        <v>1</v>
      </c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v>0</v>
      </c>
      <c r="F57" s="193">
        <v>0</v>
      </c>
      <c r="G57" s="197">
        <f>E57+F57</f>
        <v>0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v>0</v>
      </c>
      <c r="F58" s="198"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v>0</v>
      </c>
      <c r="F59" s="200"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>
        <v>0</v>
      </c>
      <c r="F60" s="259">
        <f>+E60</f>
        <v>0</v>
      </c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300622.33309446211</v>
      </c>
      <c r="F61" s="202">
        <f>F22+F51+F52+F54+F57+F58</f>
        <v>197226.84869660018</v>
      </c>
      <c r="G61" s="202">
        <f>G22+G51+G52+G54+G57+G58</f>
        <v>497849.18179106229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v>0</v>
      </c>
      <c r="F62" s="203">
        <v>0</v>
      </c>
      <c r="G62" s="204">
        <f t="shared" si="4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v>0</v>
      </c>
      <c r="F63" s="205">
        <v>0</v>
      </c>
      <c r="G63" s="206">
        <f>E63+F63</f>
        <v>0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>
        <f>E56</f>
        <v>1</v>
      </c>
      <c r="F64" s="260">
        <f>F56</f>
        <v>1</v>
      </c>
      <c r="G64" s="261">
        <f>G56</f>
        <v>1</v>
      </c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v>0</v>
      </c>
      <c r="F65" s="193">
        <v>0</v>
      </c>
      <c r="G65" s="197">
        <f>E65+F65</f>
        <v>0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v>0</v>
      </c>
      <c r="F66" s="198"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v>0</v>
      </c>
      <c r="F67" s="200"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>
        <f>E60</f>
        <v>0</v>
      </c>
      <c r="F68" s="263">
        <f>F60</f>
        <v>0</v>
      </c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305413.04301856272</v>
      </c>
      <c r="F69" s="208">
        <f>F45+F62+F65+F66</f>
        <v>36710.783210984308</v>
      </c>
      <c r="G69" s="209">
        <f>G45+G62+G65+G66</f>
        <v>342123.82622954703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606035.37611302477</v>
      </c>
      <c r="F70" s="173">
        <f>F61+F69-F46</f>
        <v>233937.63190758449</v>
      </c>
      <c r="G70" s="173">
        <f>G61+G69-G46</f>
        <v>839973.00802060938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>
        <v>0.78100000000000003</v>
      </c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>
        <v>1965048</v>
      </c>
      <c r="F74" s="212"/>
      <c r="G74" s="213">
        <f>E74+F74</f>
        <v>1965048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>
        <v>38.585799939747019</v>
      </c>
      <c r="F75" s="265">
        <f>+E75</f>
        <v>38.585799939747019</v>
      </c>
      <c r="G75" s="266">
        <f>E75</f>
        <v>38.585799939747019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>
        <v>31.42</v>
      </c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>
        <v>0</v>
      </c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>
        <v>-0.33400000000000002</v>
      </c>
      <c r="F80" s="270">
        <f>+E80</f>
        <v>-0.33400000000000002</v>
      </c>
      <c r="G80" s="271">
        <f>+F80</f>
        <v>-0.33400000000000002</v>
      </c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>
        <v>-0.22700000000000001</v>
      </c>
      <c r="F81" s="273">
        <f t="shared" ref="F81:G82" si="5">+E81</f>
        <v>-0.22700000000000001</v>
      </c>
      <c r="G81" s="274">
        <f t="shared" si="5"/>
        <v>-0.22700000000000001</v>
      </c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>
        <v>-0.1</v>
      </c>
      <c r="F82" s="273">
        <f t="shared" si="5"/>
        <v>-0.1</v>
      </c>
      <c r="G82" s="274">
        <f t="shared" si="5"/>
        <v>-0.1</v>
      </c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-0.66100000000000003</v>
      </c>
      <c r="F83" s="276">
        <f>SUM(F80:F82)</f>
        <v>-0.66100000000000003</v>
      </c>
      <c r="G83" s="276">
        <f>SUM(G80:G82)</f>
        <v>-0.66100000000000003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0.33899999999999997</v>
      </c>
      <c r="F84" s="278">
        <f>1+F83</f>
        <v>0.33899999999999997</v>
      </c>
      <c r="G84" s="278">
        <f>1+G83</f>
        <v>0.33899999999999997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>
        <v>1E-3</v>
      </c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>
        <v>0</v>
      </c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>
        <v>0</v>
      </c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>
        <v>0</v>
      </c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1.6E-2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1.016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839973.00802060938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v>563096.91463880125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+G97-G95</f>
        <v>207264.23704119865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v>770361.15167999989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1.0903626256189065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IF(G94&lt;=G97*G93,G94,G97*G93)</f>
        <v>782686.93010687991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IF(G98&lt;=G93,0,G94-G100)</f>
        <v>57286.077913729474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>
        <v>0</v>
      </c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>
        <v>0</v>
      </c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>
        <v>0</v>
      </c>
      <c r="F107" s="203">
        <v>0</v>
      </c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6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0</v>
      </c>
      <c r="F111" s="227">
        <f>F112+F113</f>
        <v>0</v>
      </c>
      <c r="G111" s="228">
        <f t="shared" si="6"/>
        <v>0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0</v>
      </c>
      <c r="F112" s="229">
        <f>F120*F20</f>
        <v>0</v>
      </c>
      <c r="G112" s="230">
        <f t="shared" si="6"/>
        <v>0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0</v>
      </c>
      <c r="F113" s="231">
        <f>F120*F43</f>
        <v>0</v>
      </c>
      <c r="G113" s="232">
        <f t="shared" si="6"/>
        <v>0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-90040.609143203736</v>
      </c>
      <c r="F119" s="237">
        <f>F17+F40</f>
        <v>90625.432457378891</v>
      </c>
      <c r="G119" s="238">
        <f>E119+F119</f>
        <v>584.82331417515525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0</v>
      </c>
      <c r="F120" s="240">
        <f>MAX(0,F19-1)</f>
        <v>0</v>
      </c>
      <c r="G120" s="241">
        <f>MAX(0,G19-1)</f>
        <v>0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10">
    <pageSetUpPr fitToPage="1"/>
  </sheetPr>
  <dimension ref="A1:AL254"/>
  <sheetViews>
    <sheetView tabSelected="1" zoomScaleNormal="100" workbookViewId="0">
      <pane xSplit="4" ySplit="5" topLeftCell="E6" activePane="bottomRight" state="frozen"/>
      <selection activeCell="N110" sqref="N110"/>
      <selection pane="topRight" activeCell="N110" sqref="N110"/>
      <selection pane="bottomLeft" activeCell="N110" sqref="N110"/>
      <selection pane="bottomRight" activeCell="G1" sqref="G1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29.664062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1.5" thickBot="1" x14ac:dyDescent="0.4">
      <c r="A4" s="1"/>
      <c r="B4" s="46"/>
      <c r="C4" s="3" t="s">
        <v>0</v>
      </c>
      <c r="D4" s="4"/>
      <c r="E4" s="294" t="s">
        <v>151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v>38852.114300999994</v>
      </c>
      <c r="F6" s="23">
        <v>0</v>
      </c>
      <c r="G6" s="170">
        <f>E6+F6</f>
        <v>38852.114300999994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v>0</v>
      </c>
      <c r="F7" s="23">
        <v>58092.865953100474</v>
      </c>
      <c r="G7" s="170">
        <f t="shared" ref="G7:G17" si="0">E7+F7</f>
        <v>58092.865953100474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v>0</v>
      </c>
      <c r="F8" s="23">
        <v>20525.0162998095</v>
      </c>
      <c r="G8" s="170">
        <f t="shared" si="0"/>
        <v>20525.0162998095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v>108057.50488533</v>
      </c>
      <c r="F9" s="23">
        <v>0</v>
      </c>
      <c r="G9" s="170">
        <f t="shared" si="0"/>
        <v>108057.50488533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v>0</v>
      </c>
      <c r="F10" s="23"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v>235.88964398999994</v>
      </c>
      <c r="F11" s="23">
        <v>0</v>
      </c>
      <c r="G11" s="170">
        <f t="shared" si="0"/>
        <v>235.88964398999994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>
        <v>0.6</v>
      </c>
      <c r="F12" s="253">
        <f>+E12</f>
        <v>0.6</v>
      </c>
      <c r="G12" s="243">
        <f>E12</f>
        <v>0.6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E12*E11</f>
        <v>141.53378639399995</v>
      </c>
      <c r="F13" s="171">
        <f>F12*F11</f>
        <v>0</v>
      </c>
      <c r="G13" s="170">
        <f t="shared" si="0"/>
        <v>141.53378639399995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v>0</v>
      </c>
      <c r="F14" s="23">
        <v>11507.625400560601</v>
      </c>
      <c r="G14" s="170">
        <f t="shared" si="0"/>
        <v>11507.625400560601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>
        <v>0.72599999999999998</v>
      </c>
      <c r="F15" s="253">
        <f>+E15</f>
        <v>0.72599999999999998</v>
      </c>
      <c r="G15" s="243">
        <f>E15</f>
        <v>0.72599999999999998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E15*E14</f>
        <v>0</v>
      </c>
      <c r="F16" s="171">
        <f>F15*F14</f>
        <v>8354.5360408069955</v>
      </c>
      <c r="G16" s="170">
        <f t="shared" si="0"/>
        <v>8354.5360408069955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v>-20403.407013170057</v>
      </c>
      <c r="F17" s="23">
        <v>24100.012861308278</v>
      </c>
      <c r="G17" s="170">
        <f t="shared" si="0"/>
        <v>3696.6058481382206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>
        <v>0.65</v>
      </c>
      <c r="F18" s="253">
        <f>+E18</f>
        <v>0.65</v>
      </c>
      <c r="G18" s="243">
        <f>F18</f>
        <v>0.65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>
        <v>1</v>
      </c>
      <c r="F19" s="254">
        <f>+E19</f>
        <v>1</v>
      </c>
      <c r="G19" s="245">
        <f>E19</f>
        <v>1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E18*E17/E19</f>
        <v>-13262.214558560538</v>
      </c>
      <c r="F20" s="171">
        <f>F18*F17/F19</f>
        <v>15665.008359850381</v>
      </c>
      <c r="G20" s="170">
        <f>E20+F20</f>
        <v>2402.793801289843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v>27787.664235425647</v>
      </c>
      <c r="G21" s="170">
        <f>F21</f>
        <v>27787.664235425647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133505.87084137546</v>
      </c>
      <c r="F22" s="173">
        <f>F6+F7+F8+F9+F10-F13-F16+F20+F21</f>
        <v>113716.01880737901</v>
      </c>
      <c r="G22" s="173">
        <f>E22+F22</f>
        <v>247221.88964875447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v>3045.6369843899997</v>
      </c>
      <c r="F24" s="23">
        <v>18352.819484999996</v>
      </c>
      <c r="G24" s="174">
        <f t="shared" ref="G24:G40" si="1">E24+F24</f>
        <v>21398.456469389996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v>0</v>
      </c>
      <c r="F25" s="176">
        <v>3045.1410989999995</v>
      </c>
      <c r="G25" s="177">
        <f t="shared" si="1"/>
        <v>3045.1410989999995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v>51247.073227349989</v>
      </c>
      <c r="F26" s="179">
        <v>14699.459774999998</v>
      </c>
      <c r="G26" s="180">
        <f t="shared" si="1"/>
        <v>65946.533002349985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v>0</v>
      </c>
      <c r="F27" s="179">
        <v>17344.856528999997</v>
      </c>
      <c r="G27" s="180">
        <f t="shared" si="1"/>
        <v>17344.856528999997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v>0</v>
      </c>
      <c r="F28" s="179">
        <v>4387.0676849999991</v>
      </c>
      <c r="G28" s="180">
        <f t="shared" si="1"/>
        <v>4387.0676849999991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51247.073227349989</v>
      </c>
      <c r="F29" s="182">
        <f>SUM(F25:F28)</f>
        <v>39476.525087999995</v>
      </c>
      <c r="G29" s="183">
        <f t="shared" si="1"/>
        <v>90723.598315349984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v>18354.675280570431</v>
      </c>
      <c r="F30" s="179">
        <v>0</v>
      </c>
      <c r="G30" s="180">
        <f t="shared" si="1"/>
        <v>18354.675280570431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0</v>
      </c>
      <c r="G31" s="180">
        <f t="shared" si="1"/>
        <v>0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v>0</v>
      </c>
      <c r="F32" s="179"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v>0</v>
      </c>
      <c r="F33" s="179">
        <v>0</v>
      </c>
      <c r="G33" s="180">
        <f>E33+F33</f>
        <v>0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v>0</v>
      </c>
      <c r="F34" s="179"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v>0</v>
      </c>
      <c r="F35" s="179"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v>11094.337805194673</v>
      </c>
      <c r="F36" s="179">
        <v>0</v>
      </c>
      <c r="G36" s="180">
        <f t="shared" si="1"/>
        <v>11094.337805194673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v>0</v>
      </c>
      <c r="F37" s="179"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29449.013085765102</v>
      </c>
      <c r="F38" s="182">
        <f>F37+F36+F31+F30</f>
        <v>0</v>
      </c>
      <c r="G38" s="183">
        <f t="shared" si="1"/>
        <v>29449.013085765102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v>0</v>
      </c>
      <c r="F39" s="23"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v>-13470.688983255735</v>
      </c>
      <c r="F40" s="23">
        <v>-13817.596258084464</v>
      </c>
      <c r="G40" s="177">
        <f t="shared" si="1"/>
        <v>-27288.2852413402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>
        <f>E18</f>
        <v>0.65</v>
      </c>
      <c r="F41" s="283">
        <f t="shared" ref="F41:G41" si="2">F18</f>
        <v>0.65</v>
      </c>
      <c r="G41" s="249">
        <f t="shared" si="2"/>
        <v>0.65</v>
      </c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>
        <f>E19</f>
        <v>1</v>
      </c>
      <c r="F42" s="247">
        <f>F19</f>
        <v>1</v>
      </c>
      <c r="G42" s="248">
        <f>G19</f>
        <v>1</v>
      </c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E41*E40/E42</f>
        <v>-8755.9478391162284</v>
      </c>
      <c r="F43" s="188">
        <f>F41*F40/F42</f>
        <v>-8981.4375677549015</v>
      </c>
      <c r="G43" s="189">
        <f t="shared" ref="G43:G47" si="3">E43+F43</f>
        <v>-17737.38540687113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v>480.15064297199979</v>
      </c>
      <c r="G44" s="177">
        <f>F44</f>
        <v>480.15064297199979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74985.77545838886</v>
      </c>
      <c r="F45" s="192">
        <f>F24+F29+F38+F39+F43+F44</f>
        <v>49328.057648217095</v>
      </c>
      <c r="G45" s="192">
        <f>E45+F45</f>
        <v>124313.83310660595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v>0</v>
      </c>
      <c r="F46" s="23">
        <v>0</v>
      </c>
      <c r="G46" s="177">
        <f t="shared" si="3"/>
        <v>0</v>
      </c>
      <c r="H46" s="56"/>
      <c r="I46" s="1"/>
      <c r="L46" s="1"/>
      <c r="M46" s="1"/>
      <c r="N46" s="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208491.64629976434</v>
      </c>
      <c r="F47" s="192">
        <f>F22+F45-F46</f>
        <v>163044.07645559611</v>
      </c>
      <c r="G47" s="192">
        <f t="shared" si="3"/>
        <v>371535.72275536042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v>0</v>
      </c>
      <c r="F48" s="194">
        <v>780.2604809999998</v>
      </c>
      <c r="G48" s="195">
        <f>E48+F48</f>
        <v>780.2604809999998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v>0</v>
      </c>
      <c r="F51" s="196">
        <v>0</v>
      </c>
      <c r="G51" s="174">
        <f t="shared" ref="G51:G62" si="4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v>0</v>
      </c>
      <c r="F52" s="175">
        <v>0</v>
      </c>
      <c r="G52" s="177">
        <f t="shared" si="4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>
        <v>1</v>
      </c>
      <c r="F53" s="252">
        <f>+E53</f>
        <v>1</v>
      </c>
      <c r="G53" s="251">
        <f>E53</f>
        <v>1</v>
      </c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v>0</v>
      </c>
      <c r="F54" s="193"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v>0</v>
      </c>
      <c r="F55" s="198">
        <v>0</v>
      </c>
      <c r="G55" s="199">
        <f>E55+F55</f>
        <v>0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>
        <v>1</v>
      </c>
      <c r="F56" s="256">
        <f>+E56</f>
        <v>1</v>
      </c>
      <c r="G56" s="245">
        <f>F56</f>
        <v>1</v>
      </c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v>0</v>
      </c>
      <c r="F57" s="193">
        <v>0</v>
      </c>
      <c r="G57" s="197">
        <f>E57+F57</f>
        <v>0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v>0</v>
      </c>
      <c r="F58" s="198"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v>0</v>
      </c>
      <c r="F59" s="200"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>
        <v>0</v>
      </c>
      <c r="F60" s="259">
        <f>+E60</f>
        <v>0</v>
      </c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133505.87084137546</v>
      </c>
      <c r="F61" s="202">
        <f>F22+F51+F52+F54+F57+F58</f>
        <v>113716.01880737901</v>
      </c>
      <c r="G61" s="202">
        <f>G22+G51+G52+G54+G57+G58</f>
        <v>247221.88964875447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v>0</v>
      </c>
      <c r="F62" s="203">
        <v>0</v>
      </c>
      <c r="G62" s="204">
        <f t="shared" si="4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v>0</v>
      </c>
      <c r="F63" s="205">
        <v>0</v>
      </c>
      <c r="G63" s="206">
        <f>E63+F63</f>
        <v>0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>
        <f>E56</f>
        <v>1</v>
      </c>
      <c r="F64" s="260">
        <f>F56</f>
        <v>1</v>
      </c>
      <c r="G64" s="261">
        <f>G56</f>
        <v>1</v>
      </c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v>0</v>
      </c>
      <c r="F65" s="193">
        <v>0</v>
      </c>
      <c r="G65" s="197">
        <f>E65+F65</f>
        <v>0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v>0</v>
      </c>
      <c r="F66" s="198"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v>0</v>
      </c>
      <c r="F67" s="200"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>
        <f>E60</f>
        <v>0</v>
      </c>
      <c r="F68" s="263">
        <f>F60</f>
        <v>0</v>
      </c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74985.77545838886</v>
      </c>
      <c r="F69" s="208">
        <f>F45+F62+F65+F66</f>
        <v>49328.057648217095</v>
      </c>
      <c r="G69" s="209">
        <f>G45+G62+G65+G66</f>
        <v>124313.83310660595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208491.64629976434</v>
      </c>
      <c r="F70" s="173">
        <f>F61+F69-F46</f>
        <v>163044.07645559611</v>
      </c>
      <c r="G70" s="173">
        <f>G61+G69-G46</f>
        <v>371535.72275536042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>
        <v>0.70489999999999997</v>
      </c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>
        <v>1250724</v>
      </c>
      <c r="F74" s="212"/>
      <c r="G74" s="213">
        <f>E74+F74</f>
        <v>1250724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>
        <v>27.257012738222024</v>
      </c>
      <c r="F75" s="265">
        <f>+E75</f>
        <v>27.257012738222024</v>
      </c>
      <c r="G75" s="266">
        <f>E75</f>
        <v>27.257012738222024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>
        <v>26.458999999999996</v>
      </c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>
        <v>0</v>
      </c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>
        <v>-0.20699999999999999</v>
      </c>
      <c r="F80" s="270">
        <f>+E80</f>
        <v>-0.20699999999999999</v>
      </c>
      <c r="G80" s="271">
        <f>+F80</f>
        <v>-0.20699999999999999</v>
      </c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>
        <v>-0.113</v>
      </c>
      <c r="F81" s="273">
        <f t="shared" ref="F81:G82" si="5">+E81</f>
        <v>-0.113</v>
      </c>
      <c r="G81" s="274">
        <f t="shared" si="5"/>
        <v>-0.113</v>
      </c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>
        <v>-0.03</v>
      </c>
      <c r="F82" s="273">
        <f t="shared" si="5"/>
        <v>-0.03</v>
      </c>
      <c r="G82" s="274">
        <f t="shared" si="5"/>
        <v>-0.03</v>
      </c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-0.35</v>
      </c>
      <c r="F83" s="276">
        <f>SUM(F80:F82)</f>
        <v>-0.35</v>
      </c>
      <c r="G83" s="276">
        <f>SUM(G80:G82)</f>
        <v>-0.35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0.65</v>
      </c>
      <c r="F84" s="278">
        <f>1+F83</f>
        <v>0.65</v>
      </c>
      <c r="G84" s="278">
        <f>1+G83</f>
        <v>0.65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>
        <v>1E-3</v>
      </c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>
        <v>0</v>
      </c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>
        <v>0</v>
      </c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>
        <v>0</v>
      </c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1.6E-2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1.016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371535.72275536042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v>233856.58428019786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+G97-G95</f>
        <v>79955.85992863134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v>313812.4442088292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1.1839419679231036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IF(G94&lt;=G97*G93,G94,G97*G93)</f>
        <v>318833.44331617048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IF(G98&lt;=G93,0,G94-G100)</f>
        <v>52702.279439189937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>
        <v>0</v>
      </c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>
        <v>0</v>
      </c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>
        <v>0</v>
      </c>
      <c r="F107" s="203">
        <v>0</v>
      </c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6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0</v>
      </c>
      <c r="F111" s="227">
        <f>F112+F113</f>
        <v>0</v>
      </c>
      <c r="G111" s="228">
        <f t="shared" si="6"/>
        <v>0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0</v>
      </c>
      <c r="F112" s="229">
        <f>F120*F20</f>
        <v>0</v>
      </c>
      <c r="G112" s="230">
        <f t="shared" si="6"/>
        <v>0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0</v>
      </c>
      <c r="F113" s="231">
        <f>F120*F43</f>
        <v>0</v>
      </c>
      <c r="G113" s="232">
        <f t="shared" si="6"/>
        <v>0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-33874.095996425793</v>
      </c>
      <c r="F119" s="237">
        <f>F17+F40</f>
        <v>10282.416603223814</v>
      </c>
      <c r="G119" s="238">
        <f>E119+F119</f>
        <v>-23591.679393201979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0</v>
      </c>
      <c r="F120" s="240">
        <f>MAX(0,F19-1)</f>
        <v>0</v>
      </c>
      <c r="G120" s="241">
        <f>MAX(0,G19-1)</f>
        <v>0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9">
    <pageSetUpPr fitToPage="1"/>
  </sheetPr>
  <dimension ref="A1:AL254"/>
  <sheetViews>
    <sheetView zoomScaleNormal="100" workbookViewId="0">
      <pane xSplit="4" ySplit="5" topLeftCell="E98" activePane="bottomRight" state="frozen"/>
      <selection activeCell="N110" sqref="N110"/>
      <selection pane="topRight" activeCell="N110" sqref="N110"/>
      <selection pane="bottomLeft" activeCell="N110" sqref="N110"/>
      <selection pane="bottomRight" activeCell="N110" sqref="N110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29.664062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1.5" thickBot="1" x14ac:dyDescent="0.4">
      <c r="A4" s="1"/>
      <c r="B4" s="46"/>
      <c r="C4" s="3" t="s">
        <v>0</v>
      </c>
      <c r="D4" s="4"/>
      <c r="E4" s="294" t="s">
        <v>150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v>13095.806904179994</v>
      </c>
      <c r="F6" s="23">
        <v>0</v>
      </c>
      <c r="G6" s="170">
        <f>E6+F6</f>
        <v>13095.806904179994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v>0</v>
      </c>
      <c r="F7" s="23">
        <v>34470.797555867422</v>
      </c>
      <c r="G7" s="170">
        <f t="shared" ref="G7:G17" si="0">E7+F7</f>
        <v>34470.797555867422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v>0</v>
      </c>
      <c r="F8" s="23">
        <v>3078.1704206525615</v>
      </c>
      <c r="G8" s="170">
        <f t="shared" si="0"/>
        <v>3078.1704206525615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v>10954.219586309997</v>
      </c>
      <c r="F9" s="23">
        <v>0</v>
      </c>
      <c r="G9" s="170">
        <f t="shared" si="0"/>
        <v>10954.219586309997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v>0</v>
      </c>
      <c r="F10" s="23"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v>0</v>
      </c>
      <c r="F11" s="23">
        <v>0</v>
      </c>
      <c r="G11" s="170">
        <f t="shared" si="0"/>
        <v>0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>
        <v>0.6</v>
      </c>
      <c r="F12" s="253">
        <f>+E12</f>
        <v>0.6</v>
      </c>
      <c r="G12" s="243">
        <f>E12</f>
        <v>0.6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E12*E11</f>
        <v>0</v>
      </c>
      <c r="F13" s="171">
        <f>F12*F11</f>
        <v>0</v>
      </c>
      <c r="G13" s="170">
        <f t="shared" si="0"/>
        <v>0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v>0</v>
      </c>
      <c r="F14" s="23">
        <v>2597.8322369999996</v>
      </c>
      <c r="G14" s="170">
        <f t="shared" si="0"/>
        <v>2597.8322369999996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>
        <v>0.72599999999999998</v>
      </c>
      <c r="F15" s="253">
        <f>+E15</f>
        <v>0.72599999999999998</v>
      </c>
      <c r="G15" s="243">
        <f>E15</f>
        <v>0.72599999999999998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E15*E14</f>
        <v>0</v>
      </c>
      <c r="F16" s="171">
        <f>F15*F14</f>
        <v>1886.0262040619996</v>
      </c>
      <c r="G16" s="170">
        <f t="shared" si="0"/>
        <v>1886.0262040619996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v>485.20503322180593</v>
      </c>
      <c r="F17" s="23">
        <v>2994.4737105581735</v>
      </c>
      <c r="G17" s="170">
        <f t="shared" si="0"/>
        <v>3479.6787437799794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>
        <v>0.33899999999999997</v>
      </c>
      <c r="F18" s="253">
        <f>+E18</f>
        <v>0.33899999999999997</v>
      </c>
      <c r="G18" s="243">
        <f>F18</f>
        <v>0.33899999999999997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>
        <v>1</v>
      </c>
      <c r="F19" s="254">
        <f>+E19</f>
        <v>1</v>
      </c>
      <c r="G19" s="245">
        <f>E19</f>
        <v>1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E18*E17/E19</f>
        <v>164.48450626219218</v>
      </c>
      <c r="F20" s="171">
        <f>F18*F17/F19</f>
        <v>1015.1265878792207</v>
      </c>
      <c r="G20" s="170">
        <f>E20+F20</f>
        <v>1179.6110941414129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v>6937.2746843400118</v>
      </c>
      <c r="G21" s="170">
        <f>F21</f>
        <v>6937.2746843400118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24214.510996752182</v>
      </c>
      <c r="F22" s="173">
        <f>F6+F7+F8+F9+F10-F13-F16+F20+F21</f>
        <v>43615.343044677211</v>
      </c>
      <c r="G22" s="173">
        <f>E22+F22</f>
        <v>67829.854041429397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v>0</v>
      </c>
      <c r="F24" s="23">
        <v>2631.2285999999995</v>
      </c>
      <c r="G24" s="174">
        <f t="shared" ref="G24:G40" si="1">E24+F24</f>
        <v>2631.2285999999995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v>0</v>
      </c>
      <c r="F25" s="176">
        <v>2226.4241999999995</v>
      </c>
      <c r="G25" s="177">
        <f t="shared" si="1"/>
        <v>2226.4241999999995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v>8599.9277964599987</v>
      </c>
      <c r="F26" s="179">
        <v>0</v>
      </c>
      <c r="G26" s="180">
        <f t="shared" si="1"/>
        <v>8599.9277964599987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v>0</v>
      </c>
      <c r="F27" s="179">
        <v>0</v>
      </c>
      <c r="G27" s="180">
        <f t="shared" si="1"/>
        <v>0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v>0</v>
      </c>
      <c r="F28" s="179">
        <v>0</v>
      </c>
      <c r="G28" s="180">
        <f t="shared" si="1"/>
        <v>0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8599.9277964599987</v>
      </c>
      <c r="F29" s="182">
        <f>SUM(F25:F28)</f>
        <v>2226.4241999999995</v>
      </c>
      <c r="G29" s="183">
        <f t="shared" si="1"/>
        <v>10826.351996459998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v>4481.1108206067447</v>
      </c>
      <c r="F30" s="179">
        <v>0</v>
      </c>
      <c r="G30" s="180">
        <f t="shared" si="1"/>
        <v>4481.1108206067447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0</v>
      </c>
      <c r="G31" s="180">
        <f t="shared" si="1"/>
        <v>0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v>0</v>
      </c>
      <c r="F32" s="179"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v>0</v>
      </c>
      <c r="F33" s="179">
        <v>0</v>
      </c>
      <c r="G33" s="180">
        <f>E33+F33</f>
        <v>0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v>0</v>
      </c>
      <c r="F34" s="179"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v>0</v>
      </c>
      <c r="F35" s="179"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v>2530.4174830090756</v>
      </c>
      <c r="F36" s="179">
        <v>0</v>
      </c>
      <c r="G36" s="180">
        <f t="shared" si="1"/>
        <v>2530.4174830090756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v>0</v>
      </c>
      <c r="F37" s="179"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7011.5283036158198</v>
      </c>
      <c r="F38" s="182">
        <f>F37+F36+F31+F30</f>
        <v>0</v>
      </c>
      <c r="G38" s="183">
        <f t="shared" si="1"/>
        <v>7011.5283036158198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v>0</v>
      </c>
      <c r="F39" s="23"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v>-1203.807978708448</v>
      </c>
      <c r="F40" s="23">
        <v>-2154.3789531324146</v>
      </c>
      <c r="G40" s="177">
        <f t="shared" si="1"/>
        <v>-3358.1869318408626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>
        <f>E18</f>
        <v>0.33899999999999997</v>
      </c>
      <c r="F41" s="283">
        <f t="shared" ref="F41:G41" si="2">F18</f>
        <v>0.33899999999999997</v>
      </c>
      <c r="G41" s="249">
        <f t="shared" si="2"/>
        <v>0.33899999999999997</v>
      </c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>
        <f>E19</f>
        <v>1</v>
      </c>
      <c r="F42" s="247">
        <f>F19</f>
        <v>1</v>
      </c>
      <c r="G42" s="248">
        <f>G19</f>
        <v>1</v>
      </c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E41*E40/E42</f>
        <v>-408.09090478216382</v>
      </c>
      <c r="F43" s="188">
        <f>F41*F40/F42</f>
        <v>-730.33446511188845</v>
      </c>
      <c r="G43" s="189">
        <f t="shared" ref="G43:G47" si="3">E43+F43</f>
        <v>-1138.4253698940522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v>0</v>
      </c>
      <c r="G44" s="177">
        <f>F44</f>
        <v>0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15203.365195293654</v>
      </c>
      <c r="F45" s="192">
        <f>F24+F29+F38+F39+F43+F44</f>
        <v>4127.3183348881103</v>
      </c>
      <c r="G45" s="192">
        <f>E45+F45</f>
        <v>19330.683530181763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v>0</v>
      </c>
      <c r="F46" s="23">
        <v>0</v>
      </c>
      <c r="G46" s="177">
        <f t="shared" si="3"/>
        <v>0</v>
      </c>
      <c r="H46" s="56"/>
      <c r="I46" s="1"/>
      <c r="L46" s="1"/>
      <c r="M46" s="1"/>
      <c r="N46" s="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39417.876192045835</v>
      </c>
      <c r="F47" s="192">
        <f>F22+F45-F46</f>
        <v>47742.661379565325</v>
      </c>
      <c r="G47" s="192">
        <f t="shared" si="3"/>
        <v>87160.537571611159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v>0</v>
      </c>
      <c r="F48" s="194">
        <v>0</v>
      </c>
      <c r="G48" s="195">
        <f>E48+F48</f>
        <v>0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v>0</v>
      </c>
      <c r="F51" s="196">
        <v>0</v>
      </c>
      <c r="G51" s="174">
        <f t="shared" ref="G51:G62" si="4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v>0</v>
      </c>
      <c r="F52" s="175">
        <v>0</v>
      </c>
      <c r="G52" s="177">
        <f t="shared" si="4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>
        <v>1</v>
      </c>
      <c r="F53" s="252">
        <f>+E53</f>
        <v>1</v>
      </c>
      <c r="G53" s="251">
        <f>E53</f>
        <v>1</v>
      </c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v>0</v>
      </c>
      <c r="F54" s="193"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v>0</v>
      </c>
      <c r="F55" s="198">
        <v>0</v>
      </c>
      <c r="G55" s="199">
        <f>E55+F55</f>
        <v>0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>
        <v>1</v>
      </c>
      <c r="F56" s="256">
        <f>+E56</f>
        <v>1</v>
      </c>
      <c r="G56" s="245">
        <f>F56</f>
        <v>1</v>
      </c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v>0</v>
      </c>
      <c r="F57" s="193">
        <v>0</v>
      </c>
      <c r="G57" s="197">
        <f>E57+F57</f>
        <v>0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v>0</v>
      </c>
      <c r="F58" s="198"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v>0</v>
      </c>
      <c r="F59" s="200"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>
        <v>0</v>
      </c>
      <c r="F60" s="259">
        <f>+E60</f>
        <v>0</v>
      </c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24214.510996752182</v>
      </c>
      <c r="F61" s="202">
        <f>F22+F51+F52+F54+F57+F58</f>
        <v>43615.343044677211</v>
      </c>
      <c r="G61" s="202">
        <f>G22+G51+G52+G54+G57+G58</f>
        <v>67829.854041429397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v>0</v>
      </c>
      <c r="F62" s="203">
        <v>0</v>
      </c>
      <c r="G62" s="204">
        <f t="shared" si="4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v>0</v>
      </c>
      <c r="F63" s="205">
        <v>0</v>
      </c>
      <c r="G63" s="206">
        <f>E63+F63</f>
        <v>0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>
        <f>E56</f>
        <v>1</v>
      </c>
      <c r="F64" s="260">
        <f>F56</f>
        <v>1</v>
      </c>
      <c r="G64" s="261">
        <f>G56</f>
        <v>1</v>
      </c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v>0</v>
      </c>
      <c r="F65" s="193">
        <v>0</v>
      </c>
      <c r="G65" s="197">
        <f>E65+F65</f>
        <v>0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v>0</v>
      </c>
      <c r="F66" s="198"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v>0</v>
      </c>
      <c r="F67" s="200"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>
        <f>E60</f>
        <v>0</v>
      </c>
      <c r="F68" s="263">
        <f>F60</f>
        <v>0</v>
      </c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15203.365195293654</v>
      </c>
      <c r="F69" s="208">
        <f>F45+F62+F65+F66</f>
        <v>4127.3183348881103</v>
      </c>
      <c r="G69" s="209">
        <f>G45+G62+G65+G66</f>
        <v>19330.683530181763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39417.876192045835</v>
      </c>
      <c r="F70" s="173">
        <f>F61+F69-F46</f>
        <v>47742.661379565325</v>
      </c>
      <c r="G70" s="173">
        <f>G61+G69-G46</f>
        <v>87160.537571611159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>
        <v>0.35770000000000002</v>
      </c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>
        <v>325300</v>
      </c>
      <c r="F74" s="212"/>
      <c r="G74" s="213">
        <f>E74+F74</f>
        <v>325300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>
        <v>24.308945588687365</v>
      </c>
      <c r="F75" s="265">
        <f>+E75</f>
        <v>24.308945588687365</v>
      </c>
      <c r="G75" s="266">
        <f>E75</f>
        <v>24.308945588687365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>
        <v>24.016999999999999</v>
      </c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>
        <v>0</v>
      </c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>
        <v>-0.33400000000000002</v>
      </c>
      <c r="F80" s="270">
        <f>+E80</f>
        <v>-0.33400000000000002</v>
      </c>
      <c r="G80" s="271">
        <f>+F80</f>
        <v>-0.33400000000000002</v>
      </c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>
        <v>-0.22700000000000001</v>
      </c>
      <c r="F81" s="273">
        <f t="shared" ref="F81:G82" si="5">+E81</f>
        <v>-0.22700000000000001</v>
      </c>
      <c r="G81" s="274">
        <f t="shared" si="5"/>
        <v>-0.22700000000000001</v>
      </c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>
        <v>-0.1</v>
      </c>
      <c r="F82" s="273">
        <f t="shared" si="5"/>
        <v>-0.1</v>
      </c>
      <c r="G82" s="274">
        <f t="shared" si="5"/>
        <v>-0.1</v>
      </c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-0.66100000000000003</v>
      </c>
      <c r="F83" s="276">
        <f>SUM(F80:F82)</f>
        <v>-0.66100000000000003</v>
      </c>
      <c r="G83" s="276">
        <f>SUM(G80:G82)</f>
        <v>-0.66100000000000003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0.33899999999999997</v>
      </c>
      <c r="F84" s="278">
        <f>1+F83</f>
        <v>0.33899999999999997</v>
      </c>
      <c r="G84" s="278">
        <f>1+G83</f>
        <v>0.33899999999999997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>
        <v>1E-3</v>
      </c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>
        <v>0</v>
      </c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>
        <v>0</v>
      </c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>
        <v>0</v>
      </c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1.6E-2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1.016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87160.537571611159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v>62709.963451276453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+G97-G95</f>
        <v>17635.316548723546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v>80345.279999999999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1.0848246165998943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IF(G94&lt;=G97*G93,G94,G97*G93)</f>
        <v>81630.804480000006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IF(G98&lt;=G93,0,G94-G100)</f>
        <v>5529.7330916111532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>
        <v>0</v>
      </c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>
        <v>0</v>
      </c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>
        <v>0</v>
      </c>
      <c r="F107" s="203">
        <v>0</v>
      </c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6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0</v>
      </c>
      <c r="F111" s="227">
        <f>F112+F113</f>
        <v>0</v>
      </c>
      <c r="G111" s="228">
        <f t="shared" si="6"/>
        <v>0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0</v>
      </c>
      <c r="F112" s="229">
        <f>F120*F20</f>
        <v>0</v>
      </c>
      <c r="G112" s="230">
        <f t="shared" si="6"/>
        <v>0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0</v>
      </c>
      <c r="F113" s="231">
        <f>F120*F43</f>
        <v>0</v>
      </c>
      <c r="G113" s="232">
        <f t="shared" si="6"/>
        <v>0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-718.60294548664206</v>
      </c>
      <c r="F119" s="237">
        <f>F17+F40</f>
        <v>840.09475742575887</v>
      </c>
      <c r="G119" s="238">
        <f>E119+F119</f>
        <v>121.49181193911681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0</v>
      </c>
      <c r="F120" s="240">
        <f>MAX(0,F19-1)</f>
        <v>0</v>
      </c>
      <c r="G120" s="241">
        <f>MAX(0,G19-1)</f>
        <v>0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8">
    <pageSetUpPr fitToPage="1"/>
  </sheetPr>
  <dimension ref="A1:AL254"/>
  <sheetViews>
    <sheetView zoomScaleNormal="100" workbookViewId="0">
      <pane xSplit="4" ySplit="5" topLeftCell="E98" activePane="bottomRight" state="frozen"/>
      <selection activeCell="N110" sqref="N110"/>
      <selection pane="topRight" activeCell="N110" sqref="N110"/>
      <selection pane="bottomLeft" activeCell="N110" sqref="N110"/>
      <selection pane="bottomRight" activeCell="N110" sqref="N110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29.664062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1.5" thickBot="1" x14ac:dyDescent="0.4">
      <c r="A4" s="1"/>
      <c r="B4" s="46"/>
      <c r="C4" s="3" t="s">
        <v>0</v>
      </c>
      <c r="D4" s="4"/>
      <c r="E4" s="294" t="s">
        <v>149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v>11044.784450699997</v>
      </c>
      <c r="F6" s="23">
        <v>0</v>
      </c>
      <c r="G6" s="170">
        <f>E6+F6</f>
        <v>11044.784450699997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v>0</v>
      </c>
      <c r="F7" s="23">
        <v>14190.899263655241</v>
      </c>
      <c r="G7" s="170">
        <f t="shared" ref="G7:G17" si="0">E7+F7</f>
        <v>14190.899263655241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v>0</v>
      </c>
      <c r="F8" s="23">
        <v>5416.0852134247552</v>
      </c>
      <c r="G8" s="170">
        <f t="shared" si="0"/>
        <v>5416.0852134247552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v>34334.051912159986</v>
      </c>
      <c r="F9" s="23">
        <v>0</v>
      </c>
      <c r="G9" s="170">
        <f t="shared" si="0"/>
        <v>34334.051912159986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v>0</v>
      </c>
      <c r="F10" s="23"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v>0</v>
      </c>
      <c r="F11" s="23">
        <v>0</v>
      </c>
      <c r="G11" s="170">
        <f t="shared" si="0"/>
        <v>0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>
        <v>0.6</v>
      </c>
      <c r="F12" s="253">
        <f>+E12</f>
        <v>0.6</v>
      </c>
      <c r="G12" s="243">
        <f>E12</f>
        <v>0.6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E12*E11</f>
        <v>0</v>
      </c>
      <c r="F13" s="171">
        <f>F12*F11</f>
        <v>0</v>
      </c>
      <c r="G13" s="170">
        <f t="shared" si="0"/>
        <v>0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v>0</v>
      </c>
      <c r="F14" s="23">
        <v>3581.6209456741981</v>
      </c>
      <c r="G14" s="170">
        <f t="shared" si="0"/>
        <v>3581.6209456741981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>
        <v>0.72599999999999998</v>
      </c>
      <c r="F15" s="253">
        <f>+E15</f>
        <v>0.72599999999999998</v>
      </c>
      <c r="G15" s="243">
        <f>E15</f>
        <v>0.72599999999999998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E15*E14</f>
        <v>0</v>
      </c>
      <c r="F16" s="171">
        <f>F15*F14</f>
        <v>2600.2568065594678</v>
      </c>
      <c r="G16" s="170">
        <f t="shared" si="0"/>
        <v>2600.2568065594678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v>-10049.264553686378</v>
      </c>
      <c r="F17" s="23">
        <v>145.64544049403412</v>
      </c>
      <c r="G17" s="170">
        <f t="shared" si="0"/>
        <v>-9903.6191131923442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>
        <v>0.65</v>
      </c>
      <c r="F18" s="253">
        <f>+E18</f>
        <v>0.65</v>
      </c>
      <c r="G18" s="243">
        <f>F18</f>
        <v>0.65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>
        <v>1</v>
      </c>
      <c r="F19" s="254">
        <f>+E19</f>
        <v>1</v>
      </c>
      <c r="G19" s="245">
        <f>E19</f>
        <v>1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E18*E17/E19</f>
        <v>-6532.0219598961457</v>
      </c>
      <c r="F20" s="171">
        <f>F18*F17/F19</f>
        <v>94.66953632112218</v>
      </c>
      <c r="G20" s="170">
        <f>E20+F20</f>
        <v>-6437.3524235750237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v>6343.50391037999</v>
      </c>
      <c r="G21" s="170">
        <f>F21</f>
        <v>6343.50391037999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38846.814402963835</v>
      </c>
      <c r="F22" s="173">
        <f>F6+F7+F8+F9+F10-F13-F16+F20+F21</f>
        <v>23444.901117221641</v>
      </c>
      <c r="G22" s="173">
        <f>E22+F22</f>
        <v>62291.715520185477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v>14.613438839999997</v>
      </c>
      <c r="F24" s="23">
        <v>8136.7404818699979</v>
      </c>
      <c r="G24" s="174">
        <f t="shared" ref="G24:G40" si="1">E24+F24</f>
        <v>8151.3539207099975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v>0</v>
      </c>
      <c r="F25" s="176">
        <v>11723.803351259998</v>
      </c>
      <c r="G25" s="177">
        <f t="shared" si="1"/>
        <v>11723.803351259998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v>15157.354272059998</v>
      </c>
      <c r="F26" s="179">
        <v>10108.623675149998</v>
      </c>
      <c r="G26" s="180">
        <f t="shared" si="1"/>
        <v>25265.977947209998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v>0</v>
      </c>
      <c r="F27" s="179">
        <v>348.55682861999992</v>
      </c>
      <c r="G27" s="180">
        <f t="shared" si="1"/>
        <v>348.55682861999992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v>0</v>
      </c>
      <c r="F28" s="179">
        <v>0</v>
      </c>
      <c r="G28" s="180">
        <f t="shared" si="1"/>
        <v>0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15157.354272059998</v>
      </c>
      <c r="F29" s="182">
        <f>SUM(F25:F28)</f>
        <v>22180.983855029997</v>
      </c>
      <c r="G29" s="183">
        <f t="shared" si="1"/>
        <v>37338.338127089999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v>4762.4134188897106</v>
      </c>
      <c r="F30" s="179">
        <v>0</v>
      </c>
      <c r="G30" s="180">
        <f t="shared" si="1"/>
        <v>4762.4134188897106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5658.2749423199984</v>
      </c>
      <c r="G31" s="180">
        <f t="shared" si="1"/>
        <v>5658.2749423199984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v>0</v>
      </c>
      <c r="F32" s="179"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v>0</v>
      </c>
      <c r="F33" s="179">
        <v>5658.2749423199984</v>
      </c>
      <c r="G33" s="180">
        <f>E33+F33</f>
        <v>5658.2749423199984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v>0</v>
      </c>
      <c r="F34" s="179"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v>0</v>
      </c>
      <c r="F35" s="179"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v>2752.5346168500746</v>
      </c>
      <c r="F36" s="179">
        <v>0</v>
      </c>
      <c r="G36" s="180">
        <f t="shared" si="1"/>
        <v>2752.5346168500746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v>0</v>
      </c>
      <c r="F37" s="179"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7514.9480357397852</v>
      </c>
      <c r="F38" s="182">
        <f>F37+F36+F31+F30</f>
        <v>5658.2749423199984</v>
      </c>
      <c r="G38" s="183">
        <f t="shared" si="1"/>
        <v>13173.222978059785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v>0</v>
      </c>
      <c r="F39" s="23"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v>-4158.8990982727946</v>
      </c>
      <c r="F40" s="23">
        <v>-833.68220623273737</v>
      </c>
      <c r="G40" s="177">
        <f t="shared" si="1"/>
        <v>-4992.581304505532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>
        <f>E18</f>
        <v>0.65</v>
      </c>
      <c r="F41" s="283">
        <f t="shared" ref="F41:G41" si="2">F18</f>
        <v>0.65</v>
      </c>
      <c r="G41" s="249">
        <f t="shared" si="2"/>
        <v>0.65</v>
      </c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>
        <f>E19</f>
        <v>1</v>
      </c>
      <c r="F42" s="247">
        <f>F19</f>
        <v>1</v>
      </c>
      <c r="G42" s="248">
        <f>G19</f>
        <v>1</v>
      </c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E41*E40/E42</f>
        <v>-2703.2844138773166</v>
      </c>
      <c r="F43" s="188">
        <f>F41*F40/F42</f>
        <v>-541.89343405127931</v>
      </c>
      <c r="G43" s="189">
        <f t="shared" ref="G43:G47" si="3">E43+F43</f>
        <v>-3245.1778479285958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v>0</v>
      </c>
      <c r="G44" s="177">
        <f>F44</f>
        <v>0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19983.631332762467</v>
      </c>
      <c r="F45" s="192">
        <f>F24+F29+F38+F39+F43+F44</f>
        <v>35434.105845168713</v>
      </c>
      <c r="G45" s="192">
        <f>E45+F45</f>
        <v>55417.73717793118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v>0</v>
      </c>
      <c r="F46" s="23">
        <v>0</v>
      </c>
      <c r="G46" s="177">
        <f t="shared" si="3"/>
        <v>0</v>
      </c>
      <c r="H46" s="56"/>
      <c r="I46" s="1"/>
      <c r="L46" s="1"/>
      <c r="M46" s="1"/>
      <c r="N46" s="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58830.445735726302</v>
      </c>
      <c r="F47" s="192">
        <f>F22+F45-F46</f>
        <v>58879.006962390355</v>
      </c>
      <c r="G47" s="192">
        <f t="shared" si="3"/>
        <v>117709.45269811666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v>0</v>
      </c>
      <c r="F48" s="194">
        <v>0</v>
      </c>
      <c r="G48" s="195">
        <f>E48+F48</f>
        <v>0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v>0</v>
      </c>
      <c r="F51" s="196">
        <v>0</v>
      </c>
      <c r="G51" s="174">
        <f t="shared" ref="G51:G62" si="4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v>0</v>
      </c>
      <c r="F52" s="175">
        <v>0</v>
      </c>
      <c r="G52" s="177">
        <f t="shared" si="4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>
        <v>1</v>
      </c>
      <c r="F53" s="252">
        <f>+E53</f>
        <v>1</v>
      </c>
      <c r="G53" s="251">
        <f>E53</f>
        <v>1</v>
      </c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v>0</v>
      </c>
      <c r="F54" s="193"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v>0</v>
      </c>
      <c r="F55" s="198">
        <v>0</v>
      </c>
      <c r="G55" s="199">
        <f>E55+F55</f>
        <v>0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>
        <v>1</v>
      </c>
      <c r="F56" s="256">
        <f>+E56</f>
        <v>1</v>
      </c>
      <c r="G56" s="245">
        <f>F56</f>
        <v>1</v>
      </c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v>0</v>
      </c>
      <c r="F57" s="193">
        <v>0</v>
      </c>
      <c r="G57" s="197">
        <f>E57+F57</f>
        <v>0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v>0</v>
      </c>
      <c r="F58" s="198"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v>0</v>
      </c>
      <c r="F59" s="200"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>
        <v>0</v>
      </c>
      <c r="F60" s="259">
        <f>+E60</f>
        <v>0</v>
      </c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38846.814402963835</v>
      </c>
      <c r="F61" s="202">
        <f>F22+F51+F52+F54+F57+F58</f>
        <v>23444.901117221641</v>
      </c>
      <c r="G61" s="202">
        <f>G22+G51+G52+G54+G57+G58</f>
        <v>62291.715520185477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v>0</v>
      </c>
      <c r="F62" s="203">
        <v>0</v>
      </c>
      <c r="G62" s="204">
        <f t="shared" si="4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v>0</v>
      </c>
      <c r="F63" s="205">
        <v>0</v>
      </c>
      <c r="G63" s="206">
        <f>E63+F63</f>
        <v>0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>
        <f>E56</f>
        <v>1</v>
      </c>
      <c r="F64" s="260">
        <f>F56</f>
        <v>1</v>
      </c>
      <c r="G64" s="261">
        <f>G56</f>
        <v>1</v>
      </c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v>0</v>
      </c>
      <c r="F65" s="193">
        <v>0</v>
      </c>
      <c r="G65" s="197">
        <f>E65+F65</f>
        <v>0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v>0</v>
      </c>
      <c r="F66" s="198"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v>0</v>
      </c>
      <c r="F67" s="200"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>
        <f>E60</f>
        <v>0</v>
      </c>
      <c r="F68" s="263">
        <f>F60</f>
        <v>0</v>
      </c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19983.631332762467</v>
      </c>
      <c r="F69" s="208">
        <f>F45+F62+F65+F66</f>
        <v>35434.105845168713</v>
      </c>
      <c r="G69" s="209">
        <f>G45+G62+G65+G66</f>
        <v>55417.73717793118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58830.445735726302</v>
      </c>
      <c r="F70" s="173">
        <f>F61+F69-F46</f>
        <v>58879.006962390355</v>
      </c>
      <c r="G70" s="173">
        <f>G61+G69-G46</f>
        <v>117709.45269811666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>
        <v>0.57120000000000004</v>
      </c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>
        <v>215700</v>
      </c>
      <c r="F74" s="212"/>
      <c r="G74" s="213">
        <f>E74+F74</f>
        <v>215700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>
        <v>44.969864163189619</v>
      </c>
      <c r="F75" s="265">
        <f>+E75</f>
        <v>44.969864163189619</v>
      </c>
      <c r="G75" s="266">
        <f>E75</f>
        <v>44.969864163189619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>
        <v>36.353000000000002</v>
      </c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>
        <v>0</v>
      </c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>
        <v>-0.20699999999999999</v>
      </c>
      <c r="F80" s="270">
        <f>+E80</f>
        <v>-0.20699999999999999</v>
      </c>
      <c r="G80" s="271">
        <f>+F80</f>
        <v>-0.20699999999999999</v>
      </c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>
        <v>-0.113</v>
      </c>
      <c r="F81" s="273">
        <f t="shared" ref="F81:G82" si="5">+E81</f>
        <v>-0.113</v>
      </c>
      <c r="G81" s="274">
        <f t="shared" si="5"/>
        <v>-0.113</v>
      </c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>
        <v>-0.03</v>
      </c>
      <c r="F82" s="273">
        <f t="shared" si="5"/>
        <v>-0.03</v>
      </c>
      <c r="G82" s="274">
        <f t="shared" si="5"/>
        <v>-0.03</v>
      </c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-0.35</v>
      </c>
      <c r="F83" s="276">
        <f>SUM(F80:F82)</f>
        <v>-0.35</v>
      </c>
      <c r="G83" s="276">
        <f>SUM(G80:G82)</f>
        <v>-0.35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0.65</v>
      </c>
      <c r="F84" s="278">
        <f>1+F83</f>
        <v>0.65</v>
      </c>
      <c r="G84" s="278">
        <f>1+G83</f>
        <v>0.65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>
        <v>1E-3</v>
      </c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>
        <v>0</v>
      </c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>
        <v>0</v>
      </c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>
        <v>0</v>
      </c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1.6E-2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1.016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117709.45269811666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v>60990.138447040328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+G97-G95</f>
        <v>37262.516722678542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v>98252.65516971887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1.1980282109912312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IF(G94&lt;=G97*G93,G94,G97*G93)</f>
        <v>99824.697652434377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IF(G98&lt;=G93,0,G94-G100)</f>
        <v>17884.755045682279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>
        <v>0</v>
      </c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>
        <v>0</v>
      </c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>
        <v>0</v>
      </c>
      <c r="F107" s="203">
        <v>0</v>
      </c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6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0</v>
      </c>
      <c r="F111" s="227">
        <f>F112+F113</f>
        <v>0</v>
      </c>
      <c r="G111" s="228">
        <f t="shared" si="6"/>
        <v>0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0</v>
      </c>
      <c r="F112" s="229">
        <f>F120*F20</f>
        <v>0</v>
      </c>
      <c r="G112" s="230">
        <f t="shared" si="6"/>
        <v>0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0</v>
      </c>
      <c r="F113" s="231">
        <f>F120*F43</f>
        <v>0</v>
      </c>
      <c r="G113" s="232">
        <f t="shared" si="6"/>
        <v>0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-14208.163651959174</v>
      </c>
      <c r="F119" s="237">
        <f>F17+F40</f>
        <v>-688.03676573870325</v>
      </c>
      <c r="G119" s="238">
        <f>E119+F119</f>
        <v>-14896.200417697877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0</v>
      </c>
      <c r="F120" s="240">
        <f>MAX(0,F19-1)</f>
        <v>0</v>
      </c>
      <c r="G120" s="241">
        <f>MAX(0,G19-1)</f>
        <v>0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6">
    <pageSetUpPr fitToPage="1"/>
  </sheetPr>
  <dimension ref="A1:AL254"/>
  <sheetViews>
    <sheetView zoomScaleNormal="100" workbookViewId="0">
      <pane xSplit="4" ySplit="5" topLeftCell="E98" activePane="bottomRight" state="frozen"/>
      <selection activeCell="N110" sqref="N110"/>
      <selection pane="topRight" activeCell="N110" sqref="N110"/>
      <selection pane="bottomLeft" activeCell="N110" sqref="N110"/>
      <selection pane="bottomRight" activeCell="N110" sqref="N110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29.664062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1.5" thickBot="1" x14ac:dyDescent="0.4">
      <c r="A4" s="1"/>
      <c r="B4" s="46"/>
      <c r="C4" s="3" t="s">
        <v>0</v>
      </c>
      <c r="D4" s="4"/>
      <c r="E4" s="294" t="s">
        <v>148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v>55479.333589679991</v>
      </c>
      <c r="F6" s="23">
        <v>0</v>
      </c>
      <c r="G6" s="170">
        <f>E6+F6</f>
        <v>55479.333589679991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v>0</v>
      </c>
      <c r="F7" s="23">
        <v>75463.372307145299</v>
      </c>
      <c r="G7" s="170">
        <f t="shared" ref="G7:G17" si="0">E7+F7</f>
        <v>75463.372307145299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v>0</v>
      </c>
      <c r="F8" s="23">
        <v>34695.816302324682</v>
      </c>
      <c r="G8" s="170">
        <f t="shared" si="0"/>
        <v>34695.816302324682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v>98439.585103859994</v>
      </c>
      <c r="F9" s="23">
        <v>0</v>
      </c>
      <c r="G9" s="170">
        <f t="shared" si="0"/>
        <v>98439.585103859994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v>0</v>
      </c>
      <c r="F10" s="23"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v>314.36097692999994</v>
      </c>
      <c r="F11" s="23">
        <v>0</v>
      </c>
      <c r="G11" s="170">
        <f t="shared" si="0"/>
        <v>314.36097692999994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>
        <v>0.6</v>
      </c>
      <c r="F12" s="253">
        <f>+E12</f>
        <v>0.6</v>
      </c>
      <c r="G12" s="243">
        <f>E12</f>
        <v>0.6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E12*E11</f>
        <v>188.61658615799996</v>
      </c>
      <c r="F13" s="171">
        <f>F12*F11</f>
        <v>0</v>
      </c>
      <c r="G13" s="170">
        <f t="shared" si="0"/>
        <v>188.61658615799996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v>0</v>
      </c>
      <c r="F14" s="23">
        <v>14257.210967999998</v>
      </c>
      <c r="G14" s="170">
        <f t="shared" si="0"/>
        <v>14257.210967999998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>
        <v>0.72599999999999998</v>
      </c>
      <c r="F15" s="253">
        <f>+E15</f>
        <v>0.72599999999999998</v>
      </c>
      <c r="G15" s="243">
        <f>E15</f>
        <v>0.72599999999999998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E15*E14</f>
        <v>0</v>
      </c>
      <c r="F16" s="171">
        <f>F15*F14</f>
        <v>10350.735162767998</v>
      </c>
      <c r="G16" s="170">
        <f t="shared" si="0"/>
        <v>10350.735162767998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v>-36547.237208200037</v>
      </c>
      <c r="F17" s="23">
        <v>-14351.90500082876</v>
      </c>
      <c r="G17" s="170">
        <f t="shared" si="0"/>
        <v>-50899.142209028796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>
        <v>0.75</v>
      </c>
      <c r="F18" s="253">
        <f>+E18</f>
        <v>0.75</v>
      </c>
      <c r="G18" s="243">
        <f>F18</f>
        <v>0.75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>
        <v>1</v>
      </c>
      <c r="F19" s="254">
        <f>+E19</f>
        <v>1</v>
      </c>
      <c r="G19" s="245">
        <f>E19</f>
        <v>1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E18*E17/E19</f>
        <v>-27410.427906150027</v>
      </c>
      <c r="F20" s="171">
        <f>F18*F17/F19</f>
        <v>-10763.92875062157</v>
      </c>
      <c r="G20" s="170">
        <f>E20+F20</f>
        <v>-38174.356656771597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v>28448.313871456394</v>
      </c>
      <c r="G21" s="170">
        <f>F21</f>
        <v>28448.313871456394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126319.87420123196</v>
      </c>
      <c r="F22" s="173">
        <f>F6+F7+F8+F9+F10-F13-F16+F20+F21</f>
        <v>117492.83856753679</v>
      </c>
      <c r="G22" s="173">
        <f>E22+F22</f>
        <v>243812.71276876875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v>3327.9880533899991</v>
      </c>
      <c r="F24" s="23">
        <v>0</v>
      </c>
      <c r="G24" s="174">
        <f t="shared" ref="G24:G40" si="1">E24+F24</f>
        <v>3327.9880533899991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v>0</v>
      </c>
      <c r="F25" s="176">
        <v>6392.0132776499986</v>
      </c>
      <c r="G25" s="177">
        <f t="shared" si="1"/>
        <v>6392.0132776499986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v>77271.523058729988</v>
      </c>
      <c r="F26" s="179">
        <v>37591.148594999991</v>
      </c>
      <c r="G26" s="180">
        <f t="shared" si="1"/>
        <v>114862.67165372998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v>0</v>
      </c>
      <c r="F27" s="179">
        <v>0</v>
      </c>
      <c r="G27" s="180">
        <f t="shared" si="1"/>
        <v>0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v>0</v>
      </c>
      <c r="F28" s="179">
        <v>0</v>
      </c>
      <c r="G28" s="180">
        <f t="shared" si="1"/>
        <v>0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77271.523058729988</v>
      </c>
      <c r="F29" s="182">
        <f>SUM(F25:F28)</f>
        <v>43983.161872649987</v>
      </c>
      <c r="G29" s="183">
        <f t="shared" si="1"/>
        <v>121254.68493137998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v>15118.135284915197</v>
      </c>
      <c r="F30" s="179">
        <v>0</v>
      </c>
      <c r="G30" s="180">
        <f t="shared" si="1"/>
        <v>15118.135284915197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0</v>
      </c>
      <c r="G31" s="180">
        <f t="shared" si="1"/>
        <v>0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v>0</v>
      </c>
      <c r="F32" s="179"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v>0</v>
      </c>
      <c r="F33" s="179">
        <v>0</v>
      </c>
      <c r="G33" s="180">
        <f>E33+F33</f>
        <v>0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v>0</v>
      </c>
      <c r="F34" s="179"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v>0</v>
      </c>
      <c r="F35" s="179"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v>8787.2151540307823</v>
      </c>
      <c r="F36" s="179">
        <v>0</v>
      </c>
      <c r="G36" s="180">
        <f t="shared" si="1"/>
        <v>8787.2151540307823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v>0</v>
      </c>
      <c r="F37" s="179"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23905.350438945978</v>
      </c>
      <c r="F38" s="182">
        <f>F37+F36+F31+F30</f>
        <v>0</v>
      </c>
      <c r="G38" s="183">
        <f t="shared" si="1"/>
        <v>23905.350438945978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v>0</v>
      </c>
      <c r="F39" s="23"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v>32807.059225308512</v>
      </c>
      <c r="F40" s="23">
        <v>24182.853565235753</v>
      </c>
      <c r="G40" s="177">
        <f t="shared" si="1"/>
        <v>56989.912790544266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>
        <f>E18</f>
        <v>0.75</v>
      </c>
      <c r="F41" s="283">
        <f t="shared" ref="F41:G41" si="2">F18</f>
        <v>0.75</v>
      </c>
      <c r="G41" s="249">
        <f t="shared" si="2"/>
        <v>0.75</v>
      </c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>
        <f>E19</f>
        <v>1</v>
      </c>
      <c r="F42" s="247">
        <f>F19</f>
        <v>1</v>
      </c>
      <c r="G42" s="248">
        <f>G19</f>
        <v>1</v>
      </c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E41*E40/E42</f>
        <v>24605.294418981386</v>
      </c>
      <c r="F43" s="188">
        <f>F41*F40/F42</f>
        <v>18137.140173926815</v>
      </c>
      <c r="G43" s="189">
        <f t="shared" ref="G43:G47" si="3">E43+F43</f>
        <v>42742.434592908205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v>449.33288399999975</v>
      </c>
      <c r="G44" s="177">
        <f>F44</f>
        <v>449.33288399999975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129110.15597004734</v>
      </c>
      <c r="F45" s="192">
        <f>F24+F29+F38+F39+F43+F44</f>
        <v>62569.634930576809</v>
      </c>
      <c r="G45" s="192">
        <f>E45+F45</f>
        <v>191679.79090062415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v>0</v>
      </c>
      <c r="F46" s="23">
        <v>0</v>
      </c>
      <c r="G46" s="177">
        <f t="shared" si="3"/>
        <v>0</v>
      </c>
      <c r="H46" s="56"/>
      <c r="I46" s="1"/>
      <c r="L46" s="1"/>
      <c r="M46" s="1"/>
      <c r="N46" s="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255430.0301712793</v>
      </c>
      <c r="F47" s="192">
        <f>F22+F45-F46</f>
        <v>180062.4734981136</v>
      </c>
      <c r="G47" s="192">
        <f t="shared" si="3"/>
        <v>435492.5036693929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v>0</v>
      </c>
      <c r="F48" s="194">
        <v>925.99006499999984</v>
      </c>
      <c r="G48" s="195">
        <f>E48+F48</f>
        <v>925.99006499999984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v>0</v>
      </c>
      <c r="F51" s="196">
        <v>0</v>
      </c>
      <c r="G51" s="174">
        <f t="shared" ref="G51:G62" si="4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v>0</v>
      </c>
      <c r="F52" s="175">
        <v>0</v>
      </c>
      <c r="G52" s="177">
        <f t="shared" si="4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>
        <v>1</v>
      </c>
      <c r="F53" s="252">
        <f>+E53</f>
        <v>1</v>
      </c>
      <c r="G53" s="251">
        <f>E53</f>
        <v>1</v>
      </c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v>0</v>
      </c>
      <c r="F54" s="193"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v>0</v>
      </c>
      <c r="F55" s="198">
        <v>0</v>
      </c>
      <c r="G55" s="199">
        <f>E55+F55</f>
        <v>0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>
        <v>1</v>
      </c>
      <c r="F56" s="256">
        <f>+E56</f>
        <v>1</v>
      </c>
      <c r="G56" s="245">
        <f>F56</f>
        <v>1</v>
      </c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v>0</v>
      </c>
      <c r="F57" s="193">
        <v>0</v>
      </c>
      <c r="G57" s="197">
        <f>E57+F57</f>
        <v>0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v>0</v>
      </c>
      <c r="F58" s="198"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v>0</v>
      </c>
      <c r="F59" s="200"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>
        <v>0</v>
      </c>
      <c r="F60" s="259">
        <f>+E60</f>
        <v>0</v>
      </c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126319.87420123196</v>
      </c>
      <c r="F61" s="202">
        <f>F22+F51+F52+F54+F57+F58</f>
        <v>117492.83856753679</v>
      </c>
      <c r="G61" s="202">
        <f>G22+G51+G52+G54+G57+G58</f>
        <v>243812.71276876875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v>0</v>
      </c>
      <c r="F62" s="203">
        <v>0</v>
      </c>
      <c r="G62" s="204">
        <f t="shared" si="4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v>0</v>
      </c>
      <c r="F63" s="205">
        <v>0</v>
      </c>
      <c r="G63" s="206">
        <f>E63+F63</f>
        <v>0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>
        <f>E56</f>
        <v>1</v>
      </c>
      <c r="F64" s="260">
        <f>F56</f>
        <v>1</v>
      </c>
      <c r="G64" s="261">
        <f>G56</f>
        <v>1</v>
      </c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v>0</v>
      </c>
      <c r="F65" s="193">
        <v>0</v>
      </c>
      <c r="G65" s="197">
        <f>E65+F65</f>
        <v>0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v>0</v>
      </c>
      <c r="F66" s="198"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v>0</v>
      </c>
      <c r="F67" s="200"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>
        <f>E60</f>
        <v>0</v>
      </c>
      <c r="F68" s="263">
        <f>F60</f>
        <v>0</v>
      </c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129110.15597004734</v>
      </c>
      <c r="F69" s="208">
        <f>F45+F62+F65+F66</f>
        <v>62569.634930576809</v>
      </c>
      <c r="G69" s="209">
        <f>G45+G62+G65+G66</f>
        <v>191679.79090062415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255430.0301712793</v>
      </c>
      <c r="F70" s="173">
        <f>F61+F69-F46</f>
        <v>180062.4734981136</v>
      </c>
      <c r="G70" s="173">
        <f>G61+G69-G46</f>
        <v>435492.5036693929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>
        <v>0.56110000000000004</v>
      </c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>
        <v>1130437</v>
      </c>
      <c r="F74" s="212"/>
      <c r="G74" s="213">
        <f>E74+F74</f>
        <v>1130437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>
        <v>28.998873886824299</v>
      </c>
      <c r="F75" s="265">
        <f>+E75</f>
        <v>28.998873886824299</v>
      </c>
      <c r="G75" s="266">
        <f>E75</f>
        <v>28.998873886824299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>
        <v>30.332999999999998</v>
      </c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>
        <v>0</v>
      </c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>
        <v>-0.10299999999999999</v>
      </c>
      <c r="F80" s="270">
        <f>+E80</f>
        <v>-0.10299999999999999</v>
      </c>
      <c r="G80" s="271">
        <f>+F80</f>
        <v>-0.10299999999999999</v>
      </c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>
        <v>-0.11700000000000001</v>
      </c>
      <c r="F81" s="273">
        <f t="shared" ref="F81:G82" si="5">+E81</f>
        <v>-0.11700000000000001</v>
      </c>
      <c r="G81" s="274">
        <f t="shared" si="5"/>
        <v>-0.11700000000000001</v>
      </c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>
        <v>-0.03</v>
      </c>
      <c r="F82" s="273">
        <f t="shared" si="5"/>
        <v>-0.03</v>
      </c>
      <c r="G82" s="274">
        <f t="shared" si="5"/>
        <v>-0.03</v>
      </c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-0.25</v>
      </c>
      <c r="F83" s="276">
        <f>SUM(F80:F82)</f>
        <v>-0.25</v>
      </c>
      <c r="G83" s="276">
        <f>SUM(G80:G82)</f>
        <v>-0.25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0.75</v>
      </c>
      <c r="F84" s="278">
        <f>1+F83</f>
        <v>0.75</v>
      </c>
      <c r="G84" s="278">
        <f>1+G83</f>
        <v>0.75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>
        <v>1E-3</v>
      </c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>
        <v>0</v>
      </c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>
        <v>0</v>
      </c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>
        <v>0</v>
      </c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1.6E-2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1.016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435492.5036693929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v>245474.79041162127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+G97-G95</f>
        <v>102593.69632001937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v>348068.48673164065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1.2511690091759322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IF(G94&lt;=G97*G93,G94,G97*G93)</f>
        <v>353637.58251934691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IF(G98&lt;=G93,0,G94-G100)</f>
        <v>81854.921150045993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>
        <v>0</v>
      </c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>
        <v>0</v>
      </c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>
        <v>0</v>
      </c>
      <c r="F107" s="203">
        <v>0</v>
      </c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6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0</v>
      </c>
      <c r="F111" s="227">
        <f>F112+F113</f>
        <v>0</v>
      </c>
      <c r="G111" s="228">
        <f t="shared" si="6"/>
        <v>0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0</v>
      </c>
      <c r="F112" s="229">
        <f>F120*F20</f>
        <v>0</v>
      </c>
      <c r="G112" s="230">
        <f t="shared" si="6"/>
        <v>0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0</v>
      </c>
      <c r="F113" s="231">
        <f>F120*F43</f>
        <v>0</v>
      </c>
      <c r="G113" s="232">
        <f t="shared" si="6"/>
        <v>0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-3740.1779828915242</v>
      </c>
      <c r="F119" s="237">
        <f>F17+F40</f>
        <v>9830.9485644069937</v>
      </c>
      <c r="G119" s="238">
        <f>E119+F119</f>
        <v>6090.7705815154695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0</v>
      </c>
      <c r="F120" s="240">
        <f>MAX(0,F19-1)</f>
        <v>0</v>
      </c>
      <c r="G120" s="241">
        <f>MAX(0,G19-1)</f>
        <v>0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5">
    <pageSetUpPr fitToPage="1"/>
  </sheetPr>
  <dimension ref="A1:AL254"/>
  <sheetViews>
    <sheetView zoomScaleNormal="100" workbookViewId="0">
      <pane xSplit="4" ySplit="5" topLeftCell="E98" activePane="bottomRight" state="frozen"/>
      <selection activeCell="N110" sqref="N110"/>
      <selection pane="topRight" activeCell="N110" sqref="N110"/>
      <selection pane="bottomLeft" activeCell="N110" sqref="N110"/>
      <selection pane="bottomRight" activeCell="N110" sqref="N110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29.664062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1.5" thickBot="1" x14ac:dyDescent="0.4">
      <c r="A4" s="1"/>
      <c r="B4" s="46"/>
      <c r="C4" s="3" t="s">
        <v>0</v>
      </c>
      <c r="D4" s="4"/>
      <c r="E4" s="294" t="s">
        <v>147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v>2560.1753076899995</v>
      </c>
      <c r="F6" s="23">
        <v>0</v>
      </c>
      <c r="G6" s="170">
        <f>E6+F6</f>
        <v>2560.1753076899995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v>0</v>
      </c>
      <c r="F7" s="23">
        <v>33036.928915029013</v>
      </c>
      <c r="G7" s="170">
        <f t="shared" ref="G7:G17" si="0">E7+F7</f>
        <v>33036.928915029013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v>0</v>
      </c>
      <c r="F8" s="23">
        <v>35885.351592050967</v>
      </c>
      <c r="G8" s="170">
        <f t="shared" si="0"/>
        <v>35885.351592050967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v>198698.27010032994</v>
      </c>
      <c r="F9" s="23">
        <v>0</v>
      </c>
      <c r="G9" s="170">
        <f t="shared" si="0"/>
        <v>198698.27010032994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v>0</v>
      </c>
      <c r="F10" s="23"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v>1073.2680258299997</v>
      </c>
      <c r="F11" s="23">
        <v>0</v>
      </c>
      <c r="G11" s="170">
        <f t="shared" si="0"/>
        <v>1073.2680258299997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>
        <v>0.6</v>
      </c>
      <c r="F12" s="253">
        <f>+E12</f>
        <v>0.6</v>
      </c>
      <c r="G12" s="243">
        <f>E12</f>
        <v>0.6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E12*E11</f>
        <v>643.96081549799976</v>
      </c>
      <c r="F13" s="171">
        <f>F12*F11</f>
        <v>0</v>
      </c>
      <c r="G13" s="170">
        <f t="shared" si="0"/>
        <v>643.96081549799976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v>0</v>
      </c>
      <c r="F14" s="23">
        <v>22570.122324749995</v>
      </c>
      <c r="G14" s="170">
        <f t="shared" si="0"/>
        <v>22570.122324749995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>
        <v>0.72599999999999998</v>
      </c>
      <c r="F15" s="253">
        <f>+E15</f>
        <v>0.72599999999999998</v>
      </c>
      <c r="G15" s="243">
        <f>E15</f>
        <v>0.72599999999999998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E15*E14</f>
        <v>0</v>
      </c>
      <c r="F16" s="171">
        <f>F15*F14</f>
        <v>16385.908807768497</v>
      </c>
      <c r="G16" s="170">
        <f t="shared" si="0"/>
        <v>16385.908807768497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v>0</v>
      </c>
      <c r="F17" s="23">
        <v>0</v>
      </c>
      <c r="G17" s="170">
        <f t="shared" si="0"/>
        <v>0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>
        <v>0.65</v>
      </c>
      <c r="F18" s="253">
        <f>+E18</f>
        <v>0.65</v>
      </c>
      <c r="G18" s="243">
        <f>F18</f>
        <v>0.65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>
        <v>1</v>
      </c>
      <c r="F19" s="254">
        <f>+E19</f>
        <v>1</v>
      </c>
      <c r="G19" s="245">
        <f>E19</f>
        <v>1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E18*E17/E19</f>
        <v>0</v>
      </c>
      <c r="F20" s="171">
        <f>F18*F17/F19</f>
        <v>0</v>
      </c>
      <c r="G20" s="170">
        <f>E20+F20</f>
        <v>0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v>32767.531487581353</v>
      </c>
      <c r="G21" s="170">
        <f>F21</f>
        <v>32767.531487581353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200614.48459252194</v>
      </c>
      <c r="F22" s="173">
        <f>F6+F7+F8+F9+F10-F13-F16+F20+F21</f>
        <v>85303.903186892829</v>
      </c>
      <c r="G22" s="173">
        <f>E22+F22</f>
        <v>285918.38777941477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v>125.33756234999998</v>
      </c>
      <c r="F24" s="23">
        <v>13212.663814349997</v>
      </c>
      <c r="G24" s="174">
        <f t="shared" ref="G24:G40" si="1">E24+F24</f>
        <v>13338.001376699996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v>0</v>
      </c>
      <c r="F25" s="176">
        <v>2473.2334426799994</v>
      </c>
      <c r="G25" s="177">
        <f t="shared" si="1"/>
        <v>2473.2334426799994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v>34056.609096509987</v>
      </c>
      <c r="F26" s="179">
        <v>25094.300401169996</v>
      </c>
      <c r="G26" s="180">
        <f t="shared" si="1"/>
        <v>59150.909497679982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v>0</v>
      </c>
      <c r="F27" s="179">
        <v>0</v>
      </c>
      <c r="G27" s="180">
        <f t="shared" si="1"/>
        <v>0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v>0</v>
      </c>
      <c r="F28" s="179">
        <v>0</v>
      </c>
      <c r="G28" s="180">
        <f t="shared" si="1"/>
        <v>0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34056.609096509987</v>
      </c>
      <c r="F29" s="182">
        <f>SUM(F25:F28)</f>
        <v>27567.533843849997</v>
      </c>
      <c r="G29" s="183">
        <f t="shared" si="1"/>
        <v>61624.142940359983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v>23832.757396096742</v>
      </c>
      <c r="F30" s="179">
        <v>0</v>
      </c>
      <c r="G30" s="180">
        <f t="shared" si="1"/>
        <v>23832.757396096742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0</v>
      </c>
      <c r="G31" s="180">
        <f t="shared" si="1"/>
        <v>0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v>0</v>
      </c>
      <c r="F32" s="179"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v>0</v>
      </c>
      <c r="F33" s="179">
        <v>0</v>
      </c>
      <c r="G33" s="180">
        <f>E33+F33</f>
        <v>0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v>0</v>
      </c>
      <c r="F34" s="179"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v>0</v>
      </c>
      <c r="F35" s="179"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v>13075.977862355534</v>
      </c>
      <c r="F36" s="179">
        <v>0</v>
      </c>
      <c r="G36" s="180">
        <f t="shared" si="1"/>
        <v>13075.977862355534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v>0</v>
      </c>
      <c r="F37" s="179"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36908.735258452274</v>
      </c>
      <c r="F38" s="182">
        <f>F37+F36+F31+F30</f>
        <v>0</v>
      </c>
      <c r="G38" s="183">
        <f t="shared" si="1"/>
        <v>36908.735258452274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v>0</v>
      </c>
      <c r="F39" s="23"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v>0</v>
      </c>
      <c r="F40" s="23">
        <v>0</v>
      </c>
      <c r="G40" s="177">
        <f t="shared" si="1"/>
        <v>0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>
        <f>E18</f>
        <v>0.65</v>
      </c>
      <c r="F41" s="283">
        <f t="shared" ref="F41:G41" si="2">F18</f>
        <v>0.65</v>
      </c>
      <c r="G41" s="249">
        <f t="shared" si="2"/>
        <v>0.65</v>
      </c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>
        <f>E19</f>
        <v>1</v>
      </c>
      <c r="F42" s="247">
        <f>F19</f>
        <v>1</v>
      </c>
      <c r="G42" s="248">
        <f>G19</f>
        <v>1</v>
      </c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E41*E40/E42</f>
        <v>0</v>
      </c>
      <c r="F43" s="188">
        <f>F41*F40/F42</f>
        <v>0</v>
      </c>
      <c r="G43" s="189">
        <f t="shared" ref="G43:G47" si="3">E43+F43</f>
        <v>0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v>2563.9298684999994</v>
      </c>
      <c r="G44" s="177">
        <f>F44</f>
        <v>2563.9298684999994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71090.681917312264</v>
      </c>
      <c r="F45" s="192">
        <f>F24+F29+F38+F39+F43+F44</f>
        <v>43344.127526699987</v>
      </c>
      <c r="G45" s="192">
        <f>E45+F45</f>
        <v>114434.80944401225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v>0</v>
      </c>
      <c r="F46" s="23">
        <v>0</v>
      </c>
      <c r="G46" s="177">
        <f t="shared" si="3"/>
        <v>0</v>
      </c>
      <c r="H46" s="56"/>
      <c r="I46" s="1"/>
      <c r="L46" s="1"/>
      <c r="M46" s="1"/>
      <c r="N46" s="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271705.16650983423</v>
      </c>
      <c r="F47" s="192">
        <f>F22+F45-F46</f>
        <v>128648.03071359282</v>
      </c>
      <c r="G47" s="192">
        <f t="shared" si="3"/>
        <v>400353.19722342707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v>0</v>
      </c>
      <c r="F48" s="194">
        <v>728.46575801999984</v>
      </c>
      <c r="G48" s="195">
        <f>E48+F48</f>
        <v>728.46575801999984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v>0</v>
      </c>
      <c r="F51" s="196">
        <v>0</v>
      </c>
      <c r="G51" s="174">
        <f t="shared" ref="G51:G62" si="4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v>0</v>
      </c>
      <c r="F52" s="175">
        <v>0</v>
      </c>
      <c r="G52" s="177">
        <f t="shared" si="4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>
        <v>1</v>
      </c>
      <c r="F53" s="252">
        <f>+E53</f>
        <v>1</v>
      </c>
      <c r="G53" s="251">
        <f>E53</f>
        <v>1</v>
      </c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v>0</v>
      </c>
      <c r="F54" s="193"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v>0</v>
      </c>
      <c r="F55" s="198">
        <v>0</v>
      </c>
      <c r="G55" s="199">
        <f>E55+F55</f>
        <v>0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>
        <v>1</v>
      </c>
      <c r="F56" s="256">
        <f>+E56</f>
        <v>1</v>
      </c>
      <c r="G56" s="245">
        <f>F56</f>
        <v>1</v>
      </c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v>0</v>
      </c>
      <c r="F57" s="193">
        <v>0</v>
      </c>
      <c r="G57" s="197">
        <f>E57+F57</f>
        <v>0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v>0</v>
      </c>
      <c r="F58" s="198"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v>0</v>
      </c>
      <c r="F59" s="200"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>
        <v>0</v>
      </c>
      <c r="F60" s="259">
        <f>+E60</f>
        <v>0</v>
      </c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200614.48459252194</v>
      </c>
      <c r="F61" s="202">
        <f>F22+F51+F52+F54+F57+F58</f>
        <v>85303.903186892829</v>
      </c>
      <c r="G61" s="202">
        <f>G22+G51+G52+G54+G57+G58</f>
        <v>285918.38777941477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v>0</v>
      </c>
      <c r="F62" s="203">
        <v>0</v>
      </c>
      <c r="G62" s="204">
        <f t="shared" si="4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v>0</v>
      </c>
      <c r="F63" s="205">
        <v>0</v>
      </c>
      <c r="G63" s="206">
        <f>E63+F63</f>
        <v>0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>
        <f>E56</f>
        <v>1</v>
      </c>
      <c r="F64" s="260">
        <f>F56</f>
        <v>1</v>
      </c>
      <c r="G64" s="261">
        <f>G56</f>
        <v>1</v>
      </c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v>0</v>
      </c>
      <c r="F65" s="193">
        <v>0</v>
      </c>
      <c r="G65" s="197">
        <f>E65+F65</f>
        <v>0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v>0</v>
      </c>
      <c r="F66" s="198"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v>0</v>
      </c>
      <c r="F67" s="200"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>
        <f>E60</f>
        <v>0</v>
      </c>
      <c r="F68" s="263">
        <f>F60</f>
        <v>0</v>
      </c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71090.681917312264</v>
      </c>
      <c r="F69" s="208">
        <f>F45+F62+F65+F66</f>
        <v>43344.127526699987</v>
      </c>
      <c r="G69" s="209">
        <f>G45+G62+G65+G66</f>
        <v>114434.80944401225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271705.16650983423</v>
      </c>
      <c r="F70" s="173">
        <f>F61+F69-F46</f>
        <v>128648.03071359282</v>
      </c>
      <c r="G70" s="173">
        <f>G61+G69-G46</f>
        <v>400353.19722342701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>
        <v>0.77249999999999996</v>
      </c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>
        <v>944587</v>
      </c>
      <c r="F74" s="212"/>
      <c r="G74" s="213">
        <f>E74+F74</f>
        <v>944587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>
        <v>37.945342250105071</v>
      </c>
      <c r="F75" s="265">
        <f>+E75</f>
        <v>37.945342250105071</v>
      </c>
      <c r="G75" s="266">
        <f>E75</f>
        <v>37.945342250105071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>
        <v>26.350999999999999</v>
      </c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>
        <v>0</v>
      </c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>
        <v>-0.20699999999999999</v>
      </c>
      <c r="F80" s="270">
        <f>+E80</f>
        <v>-0.20699999999999999</v>
      </c>
      <c r="G80" s="271">
        <f>+F80</f>
        <v>-0.20699999999999999</v>
      </c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>
        <v>-0.113</v>
      </c>
      <c r="F81" s="273">
        <f t="shared" ref="F81:G82" si="5">+E81</f>
        <v>-0.113</v>
      </c>
      <c r="G81" s="274">
        <f t="shared" si="5"/>
        <v>-0.113</v>
      </c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>
        <v>-0.03</v>
      </c>
      <c r="F82" s="273">
        <f t="shared" si="5"/>
        <v>-0.03</v>
      </c>
      <c r="G82" s="274">
        <f t="shared" si="5"/>
        <v>-0.03</v>
      </c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-0.35</v>
      </c>
      <c r="F83" s="276">
        <f>SUM(F80:F82)</f>
        <v>-0.35</v>
      </c>
      <c r="G83" s="276">
        <f>SUM(G80:G82)</f>
        <v>-0.35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0.65</v>
      </c>
      <c r="F84" s="278">
        <f>1+F83</f>
        <v>0.65</v>
      </c>
      <c r="G84" s="278">
        <f>1+G83</f>
        <v>0.65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>
        <v>1E-3</v>
      </c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>
        <v>0</v>
      </c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>
        <v>0</v>
      </c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>
        <v>0</v>
      </c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1.6E-2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1.016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400353.19722342701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v>247885.74536626867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+G97-G95</f>
        <v>112740.40663373127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v>360626.15199999994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1.110161298627691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IF(G94&lt;=G97*G93,G94,G97*G93)</f>
        <v>366396.17043199996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IF(G98&lt;=G93,0,G94-G100)</f>
        <v>33957.026791427052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>
        <v>0</v>
      </c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>
        <v>0</v>
      </c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>
        <v>0</v>
      </c>
      <c r="F107" s="203">
        <v>0</v>
      </c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6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0</v>
      </c>
      <c r="F111" s="227">
        <f>F112+F113</f>
        <v>0</v>
      </c>
      <c r="G111" s="228">
        <f t="shared" si="6"/>
        <v>0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0</v>
      </c>
      <c r="F112" s="229">
        <f>F120*F20</f>
        <v>0</v>
      </c>
      <c r="G112" s="230">
        <f t="shared" si="6"/>
        <v>0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0</v>
      </c>
      <c r="F113" s="231">
        <f>F120*F43</f>
        <v>0</v>
      </c>
      <c r="G113" s="232">
        <f t="shared" si="6"/>
        <v>0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0</v>
      </c>
      <c r="F119" s="237">
        <f>F17+F40</f>
        <v>0</v>
      </c>
      <c r="G119" s="238">
        <f>E119+F119</f>
        <v>0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0</v>
      </c>
      <c r="F120" s="240">
        <f>MAX(0,F19-1)</f>
        <v>0</v>
      </c>
      <c r="G120" s="241">
        <f>MAX(0,G19-1)</f>
        <v>0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">
    <pageSetUpPr fitToPage="1"/>
  </sheetPr>
  <dimension ref="A1:AL254"/>
  <sheetViews>
    <sheetView zoomScaleNormal="100" workbookViewId="0">
      <pane xSplit="4" ySplit="5" topLeftCell="E83" activePane="bottomRight" state="frozen"/>
      <selection activeCell="E4" sqref="E4:G4"/>
      <selection pane="topRight" activeCell="E4" sqref="E4:G4"/>
      <selection pane="bottomLeft" activeCell="E4" sqref="E4:G4"/>
      <selection pane="bottomRight" activeCell="N110" sqref="N110"/>
    </sheetView>
  </sheetViews>
  <sheetFormatPr defaultColWidth="9.33203125" defaultRowHeight="15.5" x14ac:dyDescent="0.35"/>
  <cols>
    <col min="1" max="1" width="4.33203125" style="32" customWidth="1"/>
    <col min="2" max="2" width="65" style="37" customWidth="1"/>
    <col min="3" max="3" width="29.6640625" style="37" customWidth="1"/>
    <col min="4" max="4" width="4.33203125" style="32" customWidth="1"/>
    <col min="5" max="7" width="23.44140625" style="37" customWidth="1"/>
    <col min="8" max="8" width="3.33203125" style="145" customWidth="1"/>
    <col min="9" max="9" width="3.33203125" style="32" customWidth="1"/>
    <col min="10" max="10" width="5.109375" style="167" bestFit="1" customWidth="1"/>
    <col min="11" max="11" width="3.44140625" style="167" customWidth="1"/>
    <col min="12" max="13" width="2.44140625" style="32" customWidth="1"/>
    <col min="14" max="14" width="41" style="37" bestFit="1" customWidth="1"/>
    <col min="15" max="38" width="9.33203125" style="290"/>
    <col min="39" max="16384" width="9.33203125" style="289"/>
  </cols>
  <sheetData>
    <row r="1" spans="1:14" s="32" customFormat="1" x14ac:dyDescent="0.35">
      <c r="B1" s="33"/>
      <c r="C1" s="33"/>
      <c r="D1" s="34"/>
      <c r="F1" s="34"/>
      <c r="G1" s="35" t="s">
        <v>121</v>
      </c>
      <c r="H1" s="36"/>
      <c r="J1" s="167"/>
      <c r="K1" s="167"/>
    </row>
    <row r="2" spans="1:14" s="32" customFormat="1" ht="16" thickBot="1" x14ac:dyDescent="0.4">
      <c r="A2" s="38"/>
      <c r="B2" s="39" t="s">
        <v>25</v>
      </c>
      <c r="C2" s="40" t="s">
        <v>26</v>
      </c>
      <c r="D2" s="38"/>
      <c r="E2" s="41"/>
      <c r="F2" s="41"/>
      <c r="G2" s="41"/>
      <c r="H2" s="42"/>
      <c r="I2" s="38"/>
      <c r="J2" s="168"/>
      <c r="K2" s="168"/>
      <c r="L2" s="38"/>
      <c r="M2" s="38"/>
    </row>
    <row r="3" spans="1:14" s="32" customFormat="1" ht="16.5" thickTop="1" thickBot="1" x14ac:dyDescent="0.4">
      <c r="A3" s="1"/>
      <c r="B3" s="1"/>
      <c r="C3" s="43"/>
      <c r="D3" s="43"/>
      <c r="E3" s="44"/>
      <c r="F3" s="44"/>
      <c r="G3" s="45"/>
      <c r="H3" s="36"/>
      <c r="I3" s="1"/>
      <c r="J3" s="167"/>
      <c r="K3" s="167"/>
      <c r="L3" s="1"/>
      <c r="M3" s="1"/>
    </row>
    <row r="4" spans="1:14" s="32" customFormat="1" ht="31.5" thickBot="1" x14ac:dyDescent="0.4">
      <c r="A4" s="1"/>
      <c r="B4" s="46"/>
      <c r="C4" s="3" t="s">
        <v>0</v>
      </c>
      <c r="D4" s="4"/>
      <c r="E4" s="294" t="s">
        <v>146</v>
      </c>
      <c r="F4" s="295"/>
      <c r="G4" s="296"/>
      <c r="H4" s="47"/>
      <c r="I4" s="5"/>
      <c r="J4" s="167"/>
      <c r="K4" s="167"/>
      <c r="L4" s="1"/>
      <c r="M4" s="1"/>
    </row>
    <row r="5" spans="1:14" ht="62.5" customHeight="1" x14ac:dyDescent="0.35">
      <c r="A5" s="1"/>
      <c r="B5" s="48"/>
      <c r="C5" s="49" t="s">
        <v>27</v>
      </c>
      <c r="D5" s="50"/>
      <c r="E5" s="6" t="s">
        <v>28</v>
      </c>
      <c r="F5" s="6" t="s">
        <v>29</v>
      </c>
      <c r="G5" s="51" t="s">
        <v>30</v>
      </c>
      <c r="H5" s="36"/>
      <c r="I5" s="7"/>
      <c r="L5" s="1"/>
      <c r="M5" s="1"/>
      <c r="N5" s="52" t="s">
        <v>1</v>
      </c>
    </row>
    <row r="6" spans="1:14" x14ac:dyDescent="0.35">
      <c r="A6" s="1"/>
      <c r="B6" s="53" t="s">
        <v>45</v>
      </c>
      <c r="C6" s="54" t="s">
        <v>2</v>
      </c>
      <c r="D6" s="55"/>
      <c r="E6" s="23">
        <v>29275.757811299991</v>
      </c>
      <c r="F6" s="23">
        <v>0</v>
      </c>
      <c r="G6" s="170">
        <f>E6+F6</f>
        <v>29275.757811299991</v>
      </c>
      <c r="H6" s="56"/>
      <c r="I6" s="1"/>
      <c r="L6" s="1"/>
      <c r="M6" s="1"/>
      <c r="N6" s="57" t="s">
        <v>3</v>
      </c>
    </row>
    <row r="7" spans="1:14" x14ac:dyDescent="0.35">
      <c r="A7" s="1"/>
      <c r="B7" s="53" t="s">
        <v>46</v>
      </c>
      <c r="C7" s="54" t="s">
        <v>2</v>
      </c>
      <c r="D7" s="55"/>
      <c r="E7" s="23">
        <v>0</v>
      </c>
      <c r="F7" s="23">
        <v>20640.976355999996</v>
      </c>
      <c r="G7" s="170">
        <f t="shared" ref="G7:G17" si="0">E7+F7</f>
        <v>20640.976355999996</v>
      </c>
      <c r="H7" s="56"/>
      <c r="I7" s="1"/>
      <c r="L7" s="1"/>
      <c r="M7" s="1"/>
      <c r="N7" s="58" t="s">
        <v>4</v>
      </c>
    </row>
    <row r="8" spans="1:14" x14ac:dyDescent="0.35">
      <c r="A8" s="1"/>
      <c r="B8" s="53" t="s">
        <v>47</v>
      </c>
      <c r="C8" s="54" t="s">
        <v>2</v>
      </c>
      <c r="D8" s="55"/>
      <c r="E8" s="23">
        <v>0</v>
      </c>
      <c r="F8" s="23">
        <v>18777.864104999997</v>
      </c>
      <c r="G8" s="170">
        <f t="shared" si="0"/>
        <v>18777.864104999997</v>
      </c>
      <c r="H8" s="56"/>
      <c r="I8" s="1"/>
      <c r="L8" s="1"/>
      <c r="M8" s="1"/>
      <c r="N8" s="59" t="s">
        <v>5</v>
      </c>
    </row>
    <row r="9" spans="1:14" x14ac:dyDescent="0.35">
      <c r="A9" s="1"/>
      <c r="B9" s="53" t="s">
        <v>48</v>
      </c>
      <c r="C9" s="54" t="s">
        <v>2</v>
      </c>
      <c r="D9" s="55"/>
      <c r="E9" s="23">
        <v>109583.53651244997</v>
      </c>
      <c r="F9" s="23">
        <v>0</v>
      </c>
      <c r="G9" s="170">
        <f t="shared" si="0"/>
        <v>109583.53651244997</v>
      </c>
      <c r="H9" s="56"/>
      <c r="I9" s="1"/>
      <c r="L9" s="1"/>
      <c r="M9" s="1"/>
      <c r="N9" s="60" t="s">
        <v>6</v>
      </c>
    </row>
    <row r="10" spans="1:14" ht="17.5" x14ac:dyDescent="0.35">
      <c r="A10" s="1"/>
      <c r="B10" s="61" t="s">
        <v>49</v>
      </c>
      <c r="C10" s="54" t="s">
        <v>2</v>
      </c>
      <c r="D10" s="55"/>
      <c r="E10" s="23">
        <v>0</v>
      </c>
      <c r="F10" s="23">
        <v>0</v>
      </c>
      <c r="G10" s="170">
        <f t="shared" si="0"/>
        <v>0</v>
      </c>
      <c r="H10" s="56"/>
      <c r="I10" s="1"/>
      <c r="L10" s="1"/>
      <c r="M10" s="1"/>
      <c r="N10" s="2"/>
    </row>
    <row r="11" spans="1:14" x14ac:dyDescent="0.35">
      <c r="A11" s="1"/>
      <c r="B11" s="62" t="s">
        <v>50</v>
      </c>
      <c r="C11" s="54" t="s">
        <v>2</v>
      </c>
      <c r="D11" s="55"/>
      <c r="E11" s="23">
        <v>122.29140923999998</v>
      </c>
      <c r="F11" s="23">
        <v>0</v>
      </c>
      <c r="G11" s="170">
        <f t="shared" si="0"/>
        <v>122.29140923999998</v>
      </c>
      <c r="H11" s="56"/>
      <c r="I11" s="1"/>
      <c r="L11" s="1"/>
      <c r="M11" s="1"/>
      <c r="N11" s="1"/>
    </row>
    <row r="12" spans="1:14" x14ac:dyDescent="0.35">
      <c r="A12" s="1"/>
      <c r="B12" s="53" t="s">
        <v>51</v>
      </c>
      <c r="C12" s="54" t="s">
        <v>7</v>
      </c>
      <c r="D12" s="55"/>
      <c r="E12" s="242">
        <v>0.6</v>
      </c>
      <c r="F12" s="253">
        <f>+E12</f>
        <v>0.6</v>
      </c>
      <c r="G12" s="243">
        <f>E12</f>
        <v>0.6</v>
      </c>
      <c r="H12" s="56"/>
      <c r="I12" s="1"/>
      <c r="L12" s="1"/>
      <c r="M12" s="1"/>
      <c r="N12" s="1"/>
    </row>
    <row r="13" spans="1:14" x14ac:dyDescent="0.35">
      <c r="A13" s="1"/>
      <c r="B13" s="53" t="s">
        <v>52</v>
      </c>
      <c r="C13" s="54" t="s">
        <v>7</v>
      </c>
      <c r="D13" s="55"/>
      <c r="E13" s="171">
        <f>E12*E11</f>
        <v>73.374845543999982</v>
      </c>
      <c r="F13" s="171">
        <f>F12*F11</f>
        <v>0</v>
      </c>
      <c r="G13" s="170">
        <f t="shared" si="0"/>
        <v>73.374845543999982</v>
      </c>
      <c r="H13" s="56"/>
      <c r="I13" s="1"/>
      <c r="L13" s="1"/>
      <c r="M13" s="1"/>
      <c r="N13" s="1"/>
    </row>
    <row r="14" spans="1:14" ht="17.5" x14ac:dyDescent="0.35">
      <c r="A14" s="1"/>
      <c r="B14" s="53" t="s">
        <v>53</v>
      </c>
      <c r="C14" s="54" t="s">
        <v>2</v>
      </c>
      <c r="D14" s="55"/>
      <c r="E14" s="23">
        <v>0</v>
      </c>
      <c r="F14" s="23">
        <v>14054.368412002246</v>
      </c>
      <c r="G14" s="170">
        <f t="shared" si="0"/>
        <v>14054.368412002246</v>
      </c>
      <c r="H14" s="56"/>
      <c r="I14" s="1"/>
      <c r="L14" s="1"/>
      <c r="M14" s="1"/>
      <c r="N14" s="1"/>
    </row>
    <row r="15" spans="1:14" x14ac:dyDescent="0.35">
      <c r="A15" s="1"/>
      <c r="B15" s="53" t="s">
        <v>54</v>
      </c>
      <c r="C15" s="54" t="s">
        <v>7</v>
      </c>
      <c r="D15" s="55"/>
      <c r="E15" s="242">
        <v>0.72599999999999998</v>
      </c>
      <c r="F15" s="253">
        <f>+E15</f>
        <v>0.72599999999999998</v>
      </c>
      <c r="G15" s="243">
        <f>E15</f>
        <v>0.72599999999999998</v>
      </c>
      <c r="H15" s="56"/>
      <c r="I15" s="1"/>
      <c r="L15" s="1"/>
      <c r="M15" s="1"/>
      <c r="N15" s="1"/>
    </row>
    <row r="16" spans="1:14" ht="17.5" x14ac:dyDescent="0.35">
      <c r="A16" s="1"/>
      <c r="B16" s="53" t="s">
        <v>55</v>
      </c>
      <c r="C16" s="54" t="s">
        <v>7</v>
      </c>
      <c r="D16" s="55"/>
      <c r="E16" s="171">
        <f>E15*E14</f>
        <v>0</v>
      </c>
      <c r="F16" s="171">
        <f>F15*F14</f>
        <v>10203.47146711363</v>
      </c>
      <c r="G16" s="170">
        <f t="shared" si="0"/>
        <v>10203.47146711363</v>
      </c>
      <c r="H16" s="56"/>
      <c r="I16" s="1"/>
      <c r="L16" s="1"/>
      <c r="M16" s="1"/>
      <c r="N16" s="1"/>
    </row>
    <row r="17" spans="1:14" ht="17.5" x14ac:dyDescent="0.35">
      <c r="A17" s="1"/>
      <c r="B17" s="53" t="s">
        <v>56</v>
      </c>
      <c r="C17" s="63" t="s">
        <v>31</v>
      </c>
      <c r="D17" s="55"/>
      <c r="E17" s="23">
        <v>-64668.886097886185</v>
      </c>
      <c r="F17" s="23">
        <v>-26377.091489703351</v>
      </c>
      <c r="G17" s="170">
        <f t="shared" si="0"/>
        <v>-91045.977587589528</v>
      </c>
      <c r="H17" s="56"/>
      <c r="I17" s="1"/>
      <c r="L17" s="1"/>
      <c r="M17" s="1"/>
      <c r="N17" s="1"/>
    </row>
    <row r="18" spans="1:14" x14ac:dyDescent="0.35">
      <c r="A18" s="1"/>
      <c r="B18" s="53" t="s">
        <v>57</v>
      </c>
      <c r="C18" s="54" t="s">
        <v>7</v>
      </c>
      <c r="D18" s="64"/>
      <c r="E18" s="242">
        <v>0.65</v>
      </c>
      <c r="F18" s="253">
        <f>+E18</f>
        <v>0.65</v>
      </c>
      <c r="G18" s="243">
        <f>F18</f>
        <v>0.65</v>
      </c>
      <c r="H18" s="56"/>
      <c r="I18" s="65"/>
      <c r="L18" s="1"/>
      <c r="M18" s="1"/>
      <c r="N18" s="1"/>
    </row>
    <row r="19" spans="1:14" x14ac:dyDescent="0.35">
      <c r="A19" s="1"/>
      <c r="B19" s="53" t="s">
        <v>58</v>
      </c>
      <c r="C19" s="54" t="s">
        <v>7</v>
      </c>
      <c r="D19" s="55"/>
      <c r="E19" s="244">
        <v>2</v>
      </c>
      <c r="F19" s="254">
        <f>+E19</f>
        <v>2</v>
      </c>
      <c r="G19" s="245">
        <f>E19</f>
        <v>2</v>
      </c>
      <c r="H19" s="56"/>
      <c r="I19" s="1"/>
      <c r="L19" s="1"/>
      <c r="M19" s="1"/>
      <c r="N19" s="1"/>
    </row>
    <row r="20" spans="1:14" ht="17.5" x14ac:dyDescent="0.35">
      <c r="A20" s="1"/>
      <c r="B20" s="66" t="s">
        <v>59</v>
      </c>
      <c r="C20" s="54" t="s">
        <v>7</v>
      </c>
      <c r="D20" s="55"/>
      <c r="E20" s="171">
        <f>E18*E17/E19</f>
        <v>-21017.387981813012</v>
      </c>
      <c r="F20" s="171">
        <f>F18*F17/F19</f>
        <v>-8572.5547341535894</v>
      </c>
      <c r="G20" s="170">
        <f>E20+F20</f>
        <v>-29589.942715966601</v>
      </c>
      <c r="H20" s="56"/>
      <c r="I20" s="1"/>
      <c r="L20" s="1"/>
      <c r="M20" s="1"/>
      <c r="N20" s="1"/>
    </row>
    <row r="21" spans="1:14" x14ac:dyDescent="0.35">
      <c r="A21" s="1"/>
      <c r="B21" s="53" t="s">
        <v>9</v>
      </c>
      <c r="C21" s="54" t="s">
        <v>2</v>
      </c>
      <c r="D21" s="55"/>
      <c r="E21" s="172"/>
      <c r="F21" s="23">
        <v>20444.844576156007</v>
      </c>
      <c r="G21" s="170">
        <f>F21</f>
        <v>20444.844576156007</v>
      </c>
      <c r="H21" s="56"/>
      <c r="I21" s="1"/>
      <c r="L21" s="1"/>
      <c r="M21" s="1"/>
      <c r="N21" s="1"/>
    </row>
    <row r="22" spans="1:14" ht="18" thickBot="1" x14ac:dyDescent="0.4">
      <c r="A22" s="1"/>
      <c r="B22" s="67" t="s">
        <v>60</v>
      </c>
      <c r="C22" s="68" t="s">
        <v>8</v>
      </c>
      <c r="D22" s="55"/>
      <c r="E22" s="173">
        <f>E6+E7+E8+E9+E10-E13-E16+E20</f>
        <v>117768.53149639296</v>
      </c>
      <c r="F22" s="173">
        <f>F6+F7+F8+F9+F10-F13-F16+F20+F21</f>
        <v>41087.658835888782</v>
      </c>
      <c r="G22" s="173">
        <f>E22+F22</f>
        <v>158856.19033228175</v>
      </c>
      <c r="H22" s="56"/>
      <c r="I22" s="1"/>
      <c r="L22" s="1"/>
      <c r="M22" s="1"/>
      <c r="N22" s="1"/>
    </row>
    <row r="23" spans="1:14" ht="16" thickBot="1" x14ac:dyDescent="0.4">
      <c r="A23" s="1"/>
      <c r="B23" s="28"/>
      <c r="C23" s="69"/>
      <c r="D23" s="70"/>
      <c r="E23" s="149"/>
      <c r="F23" s="149"/>
      <c r="G23" s="150"/>
      <c r="H23" s="36"/>
      <c r="I23" s="1"/>
      <c r="L23" s="1"/>
      <c r="M23" s="1"/>
      <c r="N23" s="71"/>
    </row>
    <row r="24" spans="1:14" x14ac:dyDescent="0.35">
      <c r="A24" s="1"/>
      <c r="B24" s="72" t="s">
        <v>61</v>
      </c>
      <c r="C24" s="73" t="s">
        <v>2</v>
      </c>
      <c r="D24" s="55"/>
      <c r="E24" s="23">
        <v>4898.0421590099986</v>
      </c>
      <c r="F24" s="23">
        <v>0</v>
      </c>
      <c r="G24" s="174">
        <f t="shared" ref="G24:G40" si="1">E24+F24</f>
        <v>4898.0421590099986</v>
      </c>
      <c r="H24" s="56"/>
      <c r="I24" s="1"/>
      <c r="L24" s="1"/>
      <c r="M24" s="1"/>
      <c r="N24" s="1"/>
    </row>
    <row r="25" spans="1:14" x14ac:dyDescent="0.35">
      <c r="A25" s="1"/>
      <c r="B25" s="53" t="s">
        <v>62</v>
      </c>
      <c r="C25" s="54" t="s">
        <v>2</v>
      </c>
      <c r="D25" s="55"/>
      <c r="E25" s="175">
        <v>11302.634733389998</v>
      </c>
      <c r="F25" s="176">
        <v>0</v>
      </c>
      <c r="G25" s="177">
        <f t="shared" si="1"/>
        <v>11302.634733389998</v>
      </c>
      <c r="H25" s="56"/>
      <c r="I25" s="1"/>
      <c r="L25" s="1"/>
      <c r="M25" s="1"/>
      <c r="N25" s="1"/>
    </row>
    <row r="26" spans="1:14" x14ac:dyDescent="0.35">
      <c r="A26" s="1"/>
      <c r="B26" s="74" t="s">
        <v>63</v>
      </c>
      <c r="C26" s="75" t="s">
        <v>2</v>
      </c>
      <c r="D26" s="55"/>
      <c r="E26" s="178">
        <v>47010.208214969985</v>
      </c>
      <c r="F26" s="179">
        <v>1994.6736809999995</v>
      </c>
      <c r="G26" s="180">
        <f t="shared" si="1"/>
        <v>49004.881895969986</v>
      </c>
      <c r="H26" s="56"/>
      <c r="I26" s="1"/>
      <c r="L26" s="1"/>
      <c r="M26" s="1"/>
      <c r="N26" s="1"/>
    </row>
    <row r="27" spans="1:14" x14ac:dyDescent="0.35">
      <c r="A27" s="1"/>
      <c r="B27" s="76" t="s">
        <v>64</v>
      </c>
      <c r="C27" s="75" t="s">
        <v>2</v>
      </c>
      <c r="D27" s="55"/>
      <c r="E27" s="178">
        <v>0</v>
      </c>
      <c r="F27" s="179">
        <v>0</v>
      </c>
      <c r="G27" s="180">
        <f t="shared" si="1"/>
        <v>0</v>
      </c>
      <c r="H27" s="56"/>
      <c r="I27" s="1"/>
      <c r="L27" s="1"/>
      <c r="M27" s="1"/>
      <c r="N27" s="1"/>
    </row>
    <row r="28" spans="1:14" ht="17.5" x14ac:dyDescent="0.35">
      <c r="A28" s="1"/>
      <c r="B28" s="74" t="s">
        <v>65</v>
      </c>
      <c r="C28" s="75" t="s">
        <v>2</v>
      </c>
      <c r="D28" s="55"/>
      <c r="E28" s="178">
        <v>0</v>
      </c>
      <c r="F28" s="179">
        <v>0</v>
      </c>
      <c r="G28" s="180">
        <f t="shared" si="1"/>
        <v>0</v>
      </c>
      <c r="H28" s="56"/>
      <c r="I28" s="1"/>
      <c r="L28" s="1"/>
      <c r="M28" s="1"/>
      <c r="N28" s="1"/>
    </row>
    <row r="29" spans="1:14" x14ac:dyDescent="0.35">
      <c r="A29" s="1"/>
      <c r="B29" s="77" t="s">
        <v>66</v>
      </c>
      <c r="C29" s="78" t="s">
        <v>8</v>
      </c>
      <c r="D29" s="55"/>
      <c r="E29" s="181">
        <f>SUM(E25:E28)</f>
        <v>58312.842948359983</v>
      </c>
      <c r="F29" s="182">
        <f>SUM(F25:F28)</f>
        <v>1994.6736809999995</v>
      </c>
      <c r="G29" s="183">
        <f t="shared" si="1"/>
        <v>60307.516629359983</v>
      </c>
      <c r="H29" s="56"/>
      <c r="I29" s="1"/>
      <c r="L29" s="1"/>
      <c r="M29" s="1"/>
      <c r="N29" s="1"/>
    </row>
    <row r="30" spans="1:14" x14ac:dyDescent="0.35">
      <c r="A30" s="1"/>
      <c r="B30" s="53" t="s">
        <v>67</v>
      </c>
      <c r="C30" s="79" t="s">
        <v>2</v>
      </c>
      <c r="D30" s="55"/>
      <c r="E30" s="178">
        <v>16051.615803875509</v>
      </c>
      <c r="F30" s="179">
        <v>0</v>
      </c>
      <c r="G30" s="180">
        <f t="shared" si="1"/>
        <v>16051.615803875509</v>
      </c>
      <c r="H30" s="56"/>
      <c r="I30" s="1"/>
      <c r="L30" s="1"/>
      <c r="M30" s="1"/>
      <c r="N30" s="1"/>
    </row>
    <row r="31" spans="1:14" x14ac:dyDescent="0.35">
      <c r="A31" s="1"/>
      <c r="B31" s="74" t="s">
        <v>68</v>
      </c>
      <c r="C31" s="75" t="s">
        <v>2</v>
      </c>
      <c r="D31" s="55"/>
      <c r="E31" s="184">
        <f>SUM(E32:E35)</f>
        <v>0</v>
      </c>
      <c r="F31" s="185">
        <f>SUM(F32:F35)</f>
        <v>10423.713299999998</v>
      </c>
      <c r="G31" s="180">
        <f t="shared" si="1"/>
        <v>10423.713299999998</v>
      </c>
      <c r="H31" s="56"/>
      <c r="I31" s="1"/>
      <c r="L31" s="1"/>
      <c r="M31" s="1"/>
      <c r="N31" s="1"/>
    </row>
    <row r="32" spans="1:14" x14ac:dyDescent="0.35">
      <c r="A32" s="1"/>
      <c r="B32" s="80" t="s">
        <v>10</v>
      </c>
      <c r="C32" s="75" t="s">
        <v>2</v>
      </c>
      <c r="D32" s="55"/>
      <c r="E32" s="178">
        <v>0</v>
      </c>
      <c r="F32" s="179">
        <v>0</v>
      </c>
      <c r="G32" s="180">
        <f t="shared" si="1"/>
        <v>0</v>
      </c>
      <c r="H32" s="56"/>
      <c r="I32" s="1"/>
      <c r="L32" s="1"/>
      <c r="M32" s="1"/>
      <c r="N32" s="1"/>
    </row>
    <row r="33" spans="1:14" x14ac:dyDescent="0.35">
      <c r="A33" s="1"/>
      <c r="B33" s="80" t="s">
        <v>11</v>
      </c>
      <c r="C33" s="75" t="s">
        <v>2</v>
      </c>
      <c r="D33" s="55"/>
      <c r="E33" s="178">
        <v>0</v>
      </c>
      <c r="F33" s="179">
        <v>10423.713299999998</v>
      </c>
      <c r="G33" s="180">
        <f>E33+F33</f>
        <v>10423.713299999998</v>
      </c>
      <c r="H33" s="56"/>
      <c r="I33" s="1"/>
      <c r="L33" s="1"/>
      <c r="M33" s="1"/>
      <c r="N33" s="1"/>
    </row>
    <row r="34" spans="1:14" x14ac:dyDescent="0.35">
      <c r="A34" s="1"/>
      <c r="B34" s="80" t="s">
        <v>12</v>
      </c>
      <c r="C34" s="75" t="s">
        <v>2</v>
      </c>
      <c r="D34" s="55"/>
      <c r="E34" s="178">
        <v>0</v>
      </c>
      <c r="F34" s="179">
        <v>0</v>
      </c>
      <c r="G34" s="180">
        <f t="shared" si="1"/>
        <v>0</v>
      </c>
      <c r="H34" s="56"/>
      <c r="I34" s="1"/>
      <c r="L34" s="1"/>
      <c r="M34" s="1"/>
      <c r="N34" s="1"/>
    </row>
    <row r="35" spans="1:14" x14ac:dyDescent="0.35">
      <c r="A35" s="1"/>
      <c r="B35" s="80" t="s">
        <v>13</v>
      </c>
      <c r="C35" s="75" t="s">
        <v>2</v>
      </c>
      <c r="D35" s="55"/>
      <c r="E35" s="178">
        <v>0</v>
      </c>
      <c r="F35" s="179">
        <v>0</v>
      </c>
      <c r="G35" s="180">
        <f t="shared" si="1"/>
        <v>0</v>
      </c>
      <c r="H35" s="56"/>
      <c r="I35" s="1"/>
      <c r="L35" s="1"/>
      <c r="M35" s="1"/>
      <c r="N35" s="1"/>
    </row>
    <row r="36" spans="1:14" x14ac:dyDescent="0.35">
      <c r="A36" s="1"/>
      <c r="B36" s="74" t="s">
        <v>69</v>
      </c>
      <c r="C36" s="75" t="s">
        <v>2</v>
      </c>
      <c r="D36" s="55"/>
      <c r="E36" s="178">
        <v>9648.1278263209933</v>
      </c>
      <c r="F36" s="179">
        <v>0</v>
      </c>
      <c r="G36" s="180">
        <f t="shared" si="1"/>
        <v>9648.1278263209933</v>
      </c>
      <c r="H36" s="56"/>
      <c r="I36" s="1"/>
      <c r="L36" s="1"/>
      <c r="M36" s="1"/>
      <c r="N36" s="1"/>
    </row>
    <row r="37" spans="1:14" ht="17.5" x14ac:dyDescent="0.35">
      <c r="A37" s="1"/>
      <c r="B37" s="74" t="s">
        <v>70</v>
      </c>
      <c r="C37" s="75" t="s">
        <v>2</v>
      </c>
      <c r="D37" s="55"/>
      <c r="E37" s="178">
        <v>0</v>
      </c>
      <c r="F37" s="179">
        <v>0</v>
      </c>
      <c r="G37" s="180">
        <f t="shared" si="1"/>
        <v>0</v>
      </c>
      <c r="H37" s="56"/>
      <c r="I37" s="1"/>
      <c r="L37" s="1"/>
      <c r="M37" s="1"/>
      <c r="N37" s="1"/>
    </row>
    <row r="38" spans="1:14" x14ac:dyDescent="0.35">
      <c r="A38" s="1"/>
      <c r="B38" s="62" t="s">
        <v>71</v>
      </c>
      <c r="C38" s="78" t="s">
        <v>8</v>
      </c>
      <c r="D38" s="55"/>
      <c r="E38" s="181">
        <f>E37+E36+E31+E30</f>
        <v>25699.743630196503</v>
      </c>
      <c r="F38" s="182">
        <f>F37+F36+F31+F30</f>
        <v>10423.713299999998</v>
      </c>
      <c r="G38" s="183">
        <f t="shared" si="1"/>
        <v>36123.456930196502</v>
      </c>
      <c r="H38" s="56"/>
      <c r="I38" s="1"/>
      <c r="L38" s="1"/>
      <c r="M38" s="1"/>
      <c r="N38" s="1"/>
    </row>
    <row r="39" spans="1:14" ht="17.5" x14ac:dyDescent="0.35">
      <c r="A39" s="1"/>
      <c r="B39" s="61" t="s">
        <v>72</v>
      </c>
      <c r="C39" s="81" t="s">
        <v>2</v>
      </c>
      <c r="D39" s="55"/>
      <c r="E39" s="23">
        <v>0</v>
      </c>
      <c r="F39" s="23">
        <v>0</v>
      </c>
      <c r="G39" s="177">
        <f t="shared" si="1"/>
        <v>0</v>
      </c>
      <c r="H39" s="56"/>
      <c r="I39" s="1"/>
      <c r="L39" s="1"/>
      <c r="M39" s="1"/>
      <c r="N39" s="1"/>
    </row>
    <row r="40" spans="1:14" ht="17.5" x14ac:dyDescent="0.35">
      <c r="A40" s="1"/>
      <c r="B40" s="61" t="s">
        <v>73</v>
      </c>
      <c r="C40" s="63" t="s">
        <v>31</v>
      </c>
      <c r="D40" s="55"/>
      <c r="E40" s="23">
        <v>-33499.79107150816</v>
      </c>
      <c r="F40" s="23">
        <v>17559.014083852617</v>
      </c>
      <c r="G40" s="177">
        <f t="shared" si="1"/>
        <v>-15940.776987655543</v>
      </c>
      <c r="H40" s="56"/>
      <c r="I40" s="1"/>
      <c r="L40" s="1"/>
      <c r="M40" s="1"/>
      <c r="N40" s="1"/>
    </row>
    <row r="41" spans="1:14" x14ac:dyDescent="0.35">
      <c r="A41" s="1"/>
      <c r="B41" s="53" t="s">
        <v>74</v>
      </c>
      <c r="C41" s="54" t="s">
        <v>8</v>
      </c>
      <c r="D41" s="55"/>
      <c r="E41" s="282">
        <f>E18</f>
        <v>0.65</v>
      </c>
      <c r="F41" s="283">
        <f t="shared" ref="F41:G41" si="2">F18</f>
        <v>0.65</v>
      </c>
      <c r="G41" s="249">
        <f t="shared" si="2"/>
        <v>0.65</v>
      </c>
      <c r="H41" s="56"/>
      <c r="I41" s="1"/>
      <c r="L41" s="1"/>
      <c r="M41" s="1"/>
      <c r="N41" s="1"/>
    </row>
    <row r="42" spans="1:14" x14ac:dyDescent="0.35">
      <c r="A42" s="1"/>
      <c r="B42" s="53" t="s">
        <v>75</v>
      </c>
      <c r="C42" s="54" t="s">
        <v>8</v>
      </c>
      <c r="D42" s="55"/>
      <c r="E42" s="246">
        <f>E19</f>
        <v>2</v>
      </c>
      <c r="F42" s="247">
        <f>F19</f>
        <v>2</v>
      </c>
      <c r="G42" s="248">
        <f>G19</f>
        <v>2</v>
      </c>
      <c r="H42" s="56"/>
      <c r="I42" s="1"/>
      <c r="L42" s="1"/>
      <c r="M42" s="1"/>
      <c r="N42" s="1"/>
    </row>
    <row r="43" spans="1:14" ht="17.5" x14ac:dyDescent="0.35">
      <c r="A43" s="1"/>
      <c r="B43" s="53" t="s">
        <v>76</v>
      </c>
      <c r="C43" s="81" t="s">
        <v>7</v>
      </c>
      <c r="D43" s="55"/>
      <c r="E43" s="187">
        <f>E41*E40/E42</f>
        <v>-10887.432098240153</v>
      </c>
      <c r="F43" s="188">
        <f>F41*F40/F42</f>
        <v>5706.6795772521009</v>
      </c>
      <c r="G43" s="189">
        <f t="shared" ref="G43:G47" si="3">E43+F43</f>
        <v>-5180.7525209880523</v>
      </c>
      <c r="H43" s="56"/>
      <c r="I43" s="1"/>
      <c r="L43" s="1"/>
      <c r="M43" s="1"/>
      <c r="N43" s="1"/>
    </row>
    <row r="44" spans="1:14" x14ac:dyDescent="0.35">
      <c r="A44" s="1"/>
      <c r="B44" s="53" t="s">
        <v>9</v>
      </c>
      <c r="C44" s="54" t="s">
        <v>2</v>
      </c>
      <c r="D44" s="55"/>
      <c r="E44" s="190"/>
      <c r="F44" s="23">
        <v>2170.3826740595996</v>
      </c>
      <c r="G44" s="177">
        <f>F44</f>
        <v>2170.3826740595996</v>
      </c>
      <c r="H44" s="56"/>
      <c r="I44" s="1"/>
      <c r="L44" s="1"/>
      <c r="M44" s="1"/>
      <c r="N44" s="1"/>
    </row>
    <row r="45" spans="1:14" ht="17.5" x14ac:dyDescent="0.35">
      <c r="A45" s="1"/>
      <c r="B45" s="82" t="s">
        <v>77</v>
      </c>
      <c r="C45" s="68" t="s">
        <v>8</v>
      </c>
      <c r="D45" s="55"/>
      <c r="E45" s="191">
        <f>E24+E29+E38+E39+E43</f>
        <v>78023.196639326328</v>
      </c>
      <c r="F45" s="192">
        <f>F24+F29+F38+F39+F43+F44</f>
        <v>20295.449232311701</v>
      </c>
      <c r="G45" s="192">
        <f>E45+F45</f>
        <v>98318.645871638029</v>
      </c>
      <c r="H45" s="56"/>
      <c r="I45" s="1"/>
      <c r="L45" s="1"/>
      <c r="M45" s="1"/>
      <c r="N45" s="1"/>
    </row>
    <row r="46" spans="1:14" x14ac:dyDescent="0.35">
      <c r="A46" s="1"/>
      <c r="B46" s="53" t="s">
        <v>23</v>
      </c>
      <c r="C46" s="54" t="s">
        <v>7</v>
      </c>
      <c r="D46" s="55"/>
      <c r="E46" s="23">
        <v>0</v>
      </c>
      <c r="F46" s="23">
        <v>0</v>
      </c>
      <c r="G46" s="177">
        <f t="shared" si="3"/>
        <v>0</v>
      </c>
      <c r="H46" s="56"/>
      <c r="I46" s="1"/>
      <c r="L46" s="1"/>
      <c r="M46" s="1"/>
      <c r="N46" s="1"/>
    </row>
    <row r="47" spans="1:14" ht="17.5" x14ac:dyDescent="0.35">
      <c r="A47" s="1"/>
      <c r="B47" s="83" t="s">
        <v>78</v>
      </c>
      <c r="C47" s="84" t="s">
        <v>8</v>
      </c>
      <c r="D47" s="55"/>
      <c r="E47" s="191">
        <f>E22+E45-E46</f>
        <v>195791.72813571928</v>
      </c>
      <c r="F47" s="192">
        <f>F22+F45-F46</f>
        <v>61383.108068200483</v>
      </c>
      <c r="G47" s="192">
        <f t="shared" si="3"/>
        <v>257174.83620391978</v>
      </c>
      <c r="H47" s="56"/>
      <c r="I47" s="1"/>
      <c r="L47" s="1"/>
      <c r="M47" s="1"/>
      <c r="N47" s="1"/>
    </row>
    <row r="48" spans="1:14" ht="16" thickBot="1" x14ac:dyDescent="0.4">
      <c r="A48" s="1"/>
      <c r="B48" s="85" t="s">
        <v>14</v>
      </c>
      <c r="C48" s="86" t="s">
        <v>7</v>
      </c>
      <c r="D48" s="87"/>
      <c r="E48" s="193">
        <v>0</v>
      </c>
      <c r="F48" s="194">
        <v>0</v>
      </c>
      <c r="G48" s="195">
        <f>E48+F48</f>
        <v>0</v>
      </c>
      <c r="H48" s="56"/>
      <c r="I48" s="1"/>
      <c r="L48" s="1"/>
      <c r="M48" s="1"/>
      <c r="N48" s="1"/>
    </row>
    <row r="49" spans="1:14" x14ac:dyDescent="0.35">
      <c r="A49" s="1"/>
      <c r="B49" s="13"/>
      <c r="C49" s="55"/>
      <c r="D49" s="55"/>
      <c r="E49" s="151"/>
      <c r="F49" s="151"/>
      <c r="G49" s="151"/>
      <c r="H49" s="36"/>
      <c r="I49" s="1"/>
      <c r="L49" s="1"/>
      <c r="M49" s="1"/>
      <c r="N49" s="1"/>
    </row>
    <row r="50" spans="1:14" ht="16" thickBot="1" x14ac:dyDescent="0.4">
      <c r="A50" s="1"/>
      <c r="B50" s="88" t="s">
        <v>32</v>
      </c>
      <c r="C50" s="89"/>
      <c r="D50" s="89"/>
      <c r="E50" s="152"/>
      <c r="F50" s="152"/>
      <c r="G50" s="153"/>
      <c r="H50" s="36"/>
      <c r="I50" s="1"/>
      <c r="L50" s="1"/>
      <c r="M50" s="1"/>
      <c r="N50" s="1"/>
    </row>
    <row r="51" spans="1:14" ht="17.5" x14ac:dyDescent="0.35">
      <c r="A51" s="1"/>
      <c r="B51" s="72" t="s">
        <v>79</v>
      </c>
      <c r="C51" s="90" t="s">
        <v>7</v>
      </c>
      <c r="D51" s="91"/>
      <c r="E51" s="196">
        <v>0</v>
      </c>
      <c r="F51" s="196">
        <v>0</v>
      </c>
      <c r="G51" s="174">
        <f t="shared" ref="G51:G62" si="4">E51+F51</f>
        <v>0</v>
      </c>
      <c r="H51" s="56"/>
      <c r="I51" s="1"/>
      <c r="L51" s="1"/>
      <c r="M51" s="1"/>
      <c r="N51" s="1"/>
    </row>
    <row r="52" spans="1:14" ht="18" thickBot="1" x14ac:dyDescent="0.4">
      <c r="A52" s="1"/>
      <c r="B52" s="92" t="s">
        <v>80</v>
      </c>
      <c r="C52" s="54" t="s">
        <v>7</v>
      </c>
      <c r="D52" s="91"/>
      <c r="E52" s="175">
        <v>0</v>
      </c>
      <c r="F52" s="175">
        <v>0</v>
      </c>
      <c r="G52" s="177">
        <f t="shared" si="4"/>
        <v>0</v>
      </c>
      <c r="H52" s="56"/>
      <c r="I52" s="1"/>
      <c r="L52" s="1"/>
      <c r="M52" s="1"/>
      <c r="N52" s="1"/>
    </row>
    <row r="53" spans="1:14" x14ac:dyDescent="0.35">
      <c r="A53" s="1"/>
      <c r="B53" s="93" t="s">
        <v>81</v>
      </c>
      <c r="C53" s="94" t="s">
        <v>7</v>
      </c>
      <c r="D53" s="91"/>
      <c r="E53" s="250">
        <v>1</v>
      </c>
      <c r="F53" s="252">
        <f>+E53</f>
        <v>1</v>
      </c>
      <c r="G53" s="251">
        <f>E53</f>
        <v>1</v>
      </c>
      <c r="H53" s="56"/>
      <c r="I53" s="1"/>
      <c r="L53" s="1"/>
      <c r="M53" s="1"/>
      <c r="N53" s="1"/>
    </row>
    <row r="54" spans="1:14" ht="18" thickBot="1" x14ac:dyDescent="0.4">
      <c r="A54" s="1"/>
      <c r="B54" s="95" t="s">
        <v>82</v>
      </c>
      <c r="C54" s="96" t="s">
        <v>7</v>
      </c>
      <c r="D54" s="91"/>
      <c r="E54" s="193">
        <v>0</v>
      </c>
      <c r="F54" s="193">
        <v>0</v>
      </c>
      <c r="G54" s="197">
        <f>E54+F54</f>
        <v>0</v>
      </c>
      <c r="H54" s="56"/>
      <c r="I54" s="1"/>
      <c r="L54" s="1"/>
      <c r="M54" s="1"/>
      <c r="N54" s="1"/>
    </row>
    <row r="55" spans="1:14" x14ac:dyDescent="0.35">
      <c r="A55" s="1"/>
      <c r="B55" s="93" t="s">
        <v>33</v>
      </c>
      <c r="C55" s="97" t="s">
        <v>7</v>
      </c>
      <c r="D55" s="91"/>
      <c r="E55" s="198">
        <v>0</v>
      </c>
      <c r="F55" s="198">
        <v>0</v>
      </c>
      <c r="G55" s="199">
        <f>E55+F55</f>
        <v>0</v>
      </c>
      <c r="H55" s="56"/>
      <c r="I55" s="1"/>
      <c r="L55" s="1"/>
      <c r="M55" s="1"/>
      <c r="N55" s="1"/>
    </row>
    <row r="56" spans="1:14" x14ac:dyDescent="0.35">
      <c r="A56" s="1"/>
      <c r="B56" s="98" t="s">
        <v>34</v>
      </c>
      <c r="C56" s="99" t="s">
        <v>7</v>
      </c>
      <c r="D56" s="91"/>
      <c r="E56" s="255">
        <v>1</v>
      </c>
      <c r="F56" s="256">
        <f>+E56</f>
        <v>1</v>
      </c>
      <c r="G56" s="245">
        <f>F56</f>
        <v>1</v>
      </c>
      <c r="H56" s="56"/>
      <c r="I56" s="1"/>
      <c r="L56" s="1"/>
      <c r="M56" s="1"/>
      <c r="N56" s="1"/>
    </row>
    <row r="57" spans="1:14" ht="18" thickBot="1" x14ac:dyDescent="0.4">
      <c r="A57" s="1"/>
      <c r="B57" s="95" t="s">
        <v>83</v>
      </c>
      <c r="C57" s="96" t="s">
        <v>7</v>
      </c>
      <c r="D57" s="91"/>
      <c r="E57" s="193">
        <v>0</v>
      </c>
      <c r="F57" s="193">
        <v>0</v>
      </c>
      <c r="G57" s="197">
        <f>E57+F57</f>
        <v>0</v>
      </c>
      <c r="H57" s="56"/>
      <c r="I57" s="1"/>
      <c r="L57" s="1"/>
      <c r="M57" s="1"/>
      <c r="N57" s="1"/>
    </row>
    <row r="58" spans="1:14" x14ac:dyDescent="0.35">
      <c r="A58" s="1"/>
      <c r="B58" s="100" t="s">
        <v>35</v>
      </c>
      <c r="C58" s="101" t="s">
        <v>7</v>
      </c>
      <c r="D58" s="91"/>
      <c r="E58" s="198">
        <v>0</v>
      </c>
      <c r="F58" s="198">
        <v>0</v>
      </c>
      <c r="G58" s="201">
        <f>E58+F58</f>
        <v>0</v>
      </c>
      <c r="H58" s="56"/>
      <c r="I58" s="1"/>
      <c r="L58" s="1"/>
      <c r="M58" s="1"/>
      <c r="N58" s="1"/>
    </row>
    <row r="59" spans="1:14" ht="17.5" x14ac:dyDescent="0.35">
      <c r="A59" s="1"/>
      <c r="B59" s="102" t="s">
        <v>84</v>
      </c>
      <c r="C59" s="63" t="s">
        <v>7</v>
      </c>
      <c r="D59" s="91"/>
      <c r="E59" s="200">
        <v>0</v>
      </c>
      <c r="F59" s="200">
        <v>0</v>
      </c>
      <c r="G59" s="186">
        <f>E59+F59</f>
        <v>0</v>
      </c>
      <c r="H59" s="56"/>
      <c r="I59" s="1"/>
      <c r="L59" s="1"/>
      <c r="M59" s="1"/>
      <c r="N59" s="1"/>
    </row>
    <row r="60" spans="1:14" ht="18" thickBot="1" x14ac:dyDescent="0.4">
      <c r="A60" s="1"/>
      <c r="B60" s="95" t="s">
        <v>85</v>
      </c>
      <c r="C60" s="103" t="s">
        <v>7</v>
      </c>
      <c r="D60" s="91"/>
      <c r="E60" s="257">
        <v>0</v>
      </c>
      <c r="F60" s="259">
        <f>+E60</f>
        <v>0</v>
      </c>
      <c r="G60" s="258">
        <f>F60</f>
        <v>0</v>
      </c>
      <c r="H60" s="56"/>
      <c r="I60" s="1"/>
      <c r="L60" s="1"/>
      <c r="M60" s="1"/>
      <c r="N60" s="1"/>
    </row>
    <row r="61" spans="1:14" ht="49" thickBot="1" x14ac:dyDescent="0.4">
      <c r="A61" s="104"/>
      <c r="B61" s="105" t="s">
        <v>86</v>
      </c>
      <c r="C61" s="106" t="s">
        <v>8</v>
      </c>
      <c r="D61" s="107"/>
      <c r="E61" s="202">
        <f>E22+E51+E52+E54+E57+E58</f>
        <v>117768.53149639296</v>
      </c>
      <c r="F61" s="202">
        <f>F22+F51+F52+F54+F57+F58</f>
        <v>41087.658835888782</v>
      </c>
      <c r="G61" s="202">
        <f>G22+G51+G52+G54+G57+G58</f>
        <v>158856.19033228175</v>
      </c>
      <c r="H61" s="108"/>
      <c r="I61" s="104"/>
      <c r="J61" s="169"/>
      <c r="K61" s="169"/>
      <c r="L61" s="104"/>
      <c r="M61" s="104"/>
      <c r="N61" s="104"/>
    </row>
    <row r="62" spans="1:14" ht="18" thickBot="1" x14ac:dyDescent="0.4">
      <c r="A62" s="1"/>
      <c r="B62" s="109" t="s">
        <v>87</v>
      </c>
      <c r="C62" s="110" t="s">
        <v>7</v>
      </c>
      <c r="D62" s="91"/>
      <c r="E62" s="203">
        <v>0</v>
      </c>
      <c r="F62" s="203">
        <v>0</v>
      </c>
      <c r="G62" s="204">
        <f t="shared" si="4"/>
        <v>0</v>
      </c>
      <c r="H62" s="56"/>
      <c r="I62" s="1"/>
      <c r="L62" s="1"/>
      <c r="M62" s="1"/>
      <c r="N62" s="1"/>
    </row>
    <row r="63" spans="1:14" x14ac:dyDescent="0.35">
      <c r="A63" s="1"/>
      <c r="B63" s="93" t="s">
        <v>36</v>
      </c>
      <c r="C63" s="97" t="s">
        <v>7</v>
      </c>
      <c r="D63" s="91"/>
      <c r="E63" s="205">
        <v>0</v>
      </c>
      <c r="F63" s="205">
        <v>0</v>
      </c>
      <c r="G63" s="206">
        <f>E63+F63</f>
        <v>0</v>
      </c>
      <c r="H63" s="56"/>
      <c r="I63" s="1"/>
      <c r="L63" s="1"/>
      <c r="M63" s="1"/>
      <c r="N63" s="1"/>
    </row>
    <row r="64" spans="1:14" x14ac:dyDescent="0.35">
      <c r="A64" s="1"/>
      <c r="B64" s="98" t="s">
        <v>34</v>
      </c>
      <c r="C64" s="99" t="s">
        <v>8</v>
      </c>
      <c r="D64" s="91"/>
      <c r="E64" s="260">
        <f>E56</f>
        <v>1</v>
      </c>
      <c r="F64" s="260">
        <f>F56</f>
        <v>1</v>
      </c>
      <c r="G64" s="261">
        <f>G56</f>
        <v>1</v>
      </c>
      <c r="H64" s="56"/>
      <c r="I64" s="1"/>
      <c r="L64" s="1"/>
      <c r="M64" s="1"/>
      <c r="N64" s="1"/>
    </row>
    <row r="65" spans="1:14" ht="18" thickBot="1" x14ac:dyDescent="0.4">
      <c r="A65" s="1"/>
      <c r="B65" s="95" t="s">
        <v>88</v>
      </c>
      <c r="C65" s="96" t="s">
        <v>7</v>
      </c>
      <c r="D65" s="91"/>
      <c r="E65" s="193">
        <v>0</v>
      </c>
      <c r="F65" s="193">
        <v>0</v>
      </c>
      <c r="G65" s="197">
        <f>E65+F65</f>
        <v>0</v>
      </c>
      <c r="H65" s="56"/>
      <c r="I65" s="1"/>
      <c r="L65" s="1"/>
      <c r="M65" s="1"/>
      <c r="N65" s="1"/>
    </row>
    <row r="66" spans="1:14" x14ac:dyDescent="0.35">
      <c r="A66" s="1"/>
      <c r="B66" s="111" t="s">
        <v>37</v>
      </c>
      <c r="C66" s="112" t="s">
        <v>7</v>
      </c>
      <c r="D66" s="91"/>
      <c r="E66" s="198">
        <v>0</v>
      </c>
      <c r="F66" s="198">
        <v>0</v>
      </c>
      <c r="G66" s="207">
        <f>E66+F66</f>
        <v>0</v>
      </c>
      <c r="H66" s="56"/>
      <c r="I66" s="1"/>
      <c r="L66" s="1"/>
      <c r="M66" s="1"/>
      <c r="N66" s="1"/>
    </row>
    <row r="67" spans="1:14" ht="17.5" x14ac:dyDescent="0.35">
      <c r="A67" s="1"/>
      <c r="B67" s="102" t="s">
        <v>89</v>
      </c>
      <c r="C67" s="63" t="s">
        <v>7</v>
      </c>
      <c r="D67" s="91"/>
      <c r="E67" s="200">
        <v>0</v>
      </c>
      <c r="F67" s="200">
        <v>0</v>
      </c>
      <c r="G67" s="186">
        <f>E67+F67</f>
        <v>0</v>
      </c>
      <c r="H67" s="56"/>
      <c r="I67" s="1"/>
      <c r="L67" s="1"/>
      <c r="M67" s="1"/>
      <c r="N67" s="1"/>
    </row>
    <row r="68" spans="1:14" ht="18" thickBot="1" x14ac:dyDescent="0.4">
      <c r="A68" s="1"/>
      <c r="B68" s="95" t="s">
        <v>90</v>
      </c>
      <c r="C68" s="96" t="s">
        <v>8</v>
      </c>
      <c r="D68" s="91"/>
      <c r="E68" s="262">
        <f>E60</f>
        <v>0</v>
      </c>
      <c r="F68" s="263">
        <f>F60</f>
        <v>0</v>
      </c>
      <c r="G68" s="262">
        <f>G60</f>
        <v>0</v>
      </c>
      <c r="H68" s="56"/>
      <c r="I68" s="1"/>
      <c r="L68" s="1"/>
      <c r="M68" s="1"/>
      <c r="N68" s="1"/>
    </row>
    <row r="69" spans="1:14" ht="48.5" x14ac:dyDescent="0.35">
      <c r="A69" s="1"/>
      <c r="B69" s="113" t="s">
        <v>91</v>
      </c>
      <c r="C69" s="114" t="s">
        <v>8</v>
      </c>
      <c r="D69" s="55"/>
      <c r="E69" s="208">
        <f>E45+E62+E65+E66</f>
        <v>78023.196639326328</v>
      </c>
      <c r="F69" s="208">
        <f>F45+F62+F65+F66</f>
        <v>20295.449232311701</v>
      </c>
      <c r="G69" s="209">
        <f>G45+G62+G65+G66</f>
        <v>98318.645871638029</v>
      </c>
      <c r="H69" s="108"/>
      <c r="I69" s="1"/>
      <c r="L69" s="1"/>
      <c r="M69" s="1"/>
      <c r="N69" s="1"/>
    </row>
    <row r="70" spans="1:14" ht="18" thickBot="1" x14ac:dyDescent="0.4">
      <c r="A70" s="1"/>
      <c r="B70" s="67" t="s">
        <v>92</v>
      </c>
      <c r="C70" s="115" t="s">
        <v>8</v>
      </c>
      <c r="D70" s="55"/>
      <c r="E70" s="173">
        <f>E61+E69-E46</f>
        <v>195791.72813571928</v>
      </c>
      <c r="F70" s="173">
        <f>F61+F69-F46</f>
        <v>61383.108068200483</v>
      </c>
      <c r="G70" s="173">
        <f>G61+G69-G46</f>
        <v>257174.83620391978</v>
      </c>
      <c r="H70" s="56"/>
      <c r="I70" s="1"/>
      <c r="L70" s="1"/>
      <c r="M70" s="1"/>
      <c r="N70" s="1"/>
    </row>
    <row r="71" spans="1:14" x14ac:dyDescent="0.35">
      <c r="A71" s="1"/>
      <c r="B71" s="13"/>
      <c r="C71" s="116"/>
      <c r="D71" s="55"/>
      <c r="E71" s="154"/>
      <c r="F71" s="154"/>
      <c r="G71" s="155"/>
      <c r="H71" s="36"/>
      <c r="I71" s="1"/>
      <c r="L71" s="1"/>
      <c r="M71" s="1"/>
      <c r="N71" s="1"/>
    </row>
    <row r="72" spans="1:14" ht="16" thickBot="1" x14ac:dyDescent="0.4">
      <c r="A72" s="1"/>
      <c r="B72" s="117" t="s">
        <v>15</v>
      </c>
      <c r="C72" s="89"/>
      <c r="D72" s="89"/>
      <c r="E72" s="152"/>
      <c r="F72" s="152"/>
      <c r="G72" s="156"/>
      <c r="H72" s="36"/>
      <c r="I72" s="1"/>
      <c r="L72" s="1"/>
      <c r="M72" s="1"/>
      <c r="N72" s="1"/>
    </row>
    <row r="73" spans="1:14" x14ac:dyDescent="0.35">
      <c r="A73" s="1"/>
      <c r="B73" s="11" t="s">
        <v>93</v>
      </c>
      <c r="C73" s="73" t="s">
        <v>2</v>
      </c>
      <c r="D73" s="55"/>
      <c r="E73" s="210"/>
      <c r="F73" s="211"/>
      <c r="G73" s="24">
        <v>0.74819999999999998</v>
      </c>
      <c r="H73" s="36"/>
      <c r="I73" s="1"/>
      <c r="L73" s="1"/>
      <c r="M73" s="1"/>
      <c r="N73" s="1"/>
    </row>
    <row r="74" spans="1:14" ht="17.5" x14ac:dyDescent="0.35">
      <c r="A74" s="1"/>
      <c r="B74" s="27" t="s">
        <v>94</v>
      </c>
      <c r="C74" s="81" t="s">
        <v>2</v>
      </c>
      <c r="D74" s="55"/>
      <c r="E74" s="158">
        <v>561245</v>
      </c>
      <c r="F74" s="212"/>
      <c r="G74" s="213">
        <f>E74+F74</f>
        <v>561245</v>
      </c>
      <c r="H74" s="36"/>
      <c r="I74" s="1"/>
      <c r="L74" s="1"/>
      <c r="M74" s="1"/>
      <c r="N74" s="1"/>
    </row>
    <row r="75" spans="1:14" x14ac:dyDescent="0.35">
      <c r="A75" s="1"/>
      <c r="B75" s="9" t="s">
        <v>95</v>
      </c>
      <c r="C75" s="81" t="s">
        <v>2</v>
      </c>
      <c r="D75" s="55"/>
      <c r="E75" s="264">
        <v>43.462639310817913</v>
      </c>
      <c r="F75" s="265">
        <f>+E75</f>
        <v>43.462639310817913</v>
      </c>
      <c r="G75" s="266">
        <f>E75</f>
        <v>43.462639310817913</v>
      </c>
      <c r="H75" s="36"/>
      <c r="I75" s="1"/>
      <c r="L75" s="1"/>
      <c r="M75" s="1"/>
      <c r="N75" s="1"/>
    </row>
    <row r="76" spans="1:14" x14ac:dyDescent="0.35">
      <c r="A76" s="1"/>
      <c r="B76" s="9" t="s">
        <v>96</v>
      </c>
      <c r="C76" s="81" t="s">
        <v>7</v>
      </c>
      <c r="D76" s="55"/>
      <c r="E76" s="172"/>
      <c r="F76" s="214"/>
      <c r="G76" s="267">
        <v>30.278499999999998</v>
      </c>
      <c r="H76" s="36"/>
      <c r="I76" s="1"/>
      <c r="L76" s="1"/>
      <c r="M76" s="1"/>
      <c r="N76" s="1"/>
    </row>
    <row r="77" spans="1:14" ht="16" thickBot="1" x14ac:dyDescent="0.4">
      <c r="A77" s="1"/>
      <c r="B77" s="26" t="s">
        <v>97</v>
      </c>
      <c r="C77" s="86" t="s">
        <v>7</v>
      </c>
      <c r="D77" s="55"/>
      <c r="E77" s="215"/>
      <c r="F77" s="216"/>
      <c r="G77" s="268">
        <v>0</v>
      </c>
      <c r="H77" s="36"/>
      <c r="I77" s="1"/>
      <c r="L77" s="1"/>
      <c r="M77" s="1"/>
      <c r="N77" s="1"/>
    </row>
    <row r="78" spans="1:14" x14ac:dyDescent="0.35">
      <c r="A78" s="1"/>
      <c r="B78" s="13"/>
      <c r="C78" s="55"/>
      <c r="D78" s="55"/>
      <c r="E78" s="154"/>
      <c r="F78" s="154"/>
      <c r="G78" s="155"/>
      <c r="H78" s="36"/>
      <c r="I78" s="1"/>
      <c r="L78" s="1"/>
      <c r="M78" s="1"/>
      <c r="N78" s="1"/>
    </row>
    <row r="79" spans="1:14" ht="16" thickBot="1" x14ac:dyDescent="0.4">
      <c r="A79" s="1"/>
      <c r="B79" s="117" t="s">
        <v>16</v>
      </c>
      <c r="C79" s="89"/>
      <c r="D79" s="89"/>
      <c r="E79" s="152"/>
      <c r="F79" s="152"/>
      <c r="G79" s="155"/>
      <c r="H79" s="36"/>
      <c r="I79" s="1"/>
      <c r="L79" s="1"/>
      <c r="M79" s="1"/>
      <c r="N79" s="1"/>
    </row>
    <row r="80" spans="1:14" ht="17.5" x14ac:dyDescent="0.35">
      <c r="A80" s="1"/>
      <c r="B80" s="11" t="s">
        <v>98</v>
      </c>
      <c r="C80" s="73" t="s">
        <v>7</v>
      </c>
      <c r="D80" s="55"/>
      <c r="E80" s="269">
        <v>-0.20699999999999999</v>
      </c>
      <c r="F80" s="270">
        <f>+E80</f>
        <v>-0.20699999999999999</v>
      </c>
      <c r="G80" s="271">
        <f>+F80</f>
        <v>-0.20699999999999999</v>
      </c>
      <c r="H80" s="36"/>
      <c r="I80" s="1"/>
      <c r="L80" s="1"/>
      <c r="M80" s="1"/>
      <c r="N80" s="1"/>
    </row>
    <row r="81" spans="1:14" ht="17.5" x14ac:dyDescent="0.35">
      <c r="A81" s="1"/>
      <c r="B81" s="9" t="s">
        <v>99</v>
      </c>
      <c r="C81" s="81" t="s">
        <v>7</v>
      </c>
      <c r="D81" s="55"/>
      <c r="E81" s="272">
        <v>-0.113</v>
      </c>
      <c r="F81" s="273">
        <f t="shared" ref="F81:G82" si="5">+E81</f>
        <v>-0.113</v>
      </c>
      <c r="G81" s="274">
        <f t="shared" si="5"/>
        <v>-0.113</v>
      </c>
      <c r="H81" s="36"/>
      <c r="I81" s="1"/>
      <c r="L81" s="1"/>
      <c r="M81" s="1"/>
      <c r="N81" s="1"/>
    </row>
    <row r="82" spans="1:14" ht="17.5" x14ac:dyDescent="0.35">
      <c r="A82" s="1"/>
      <c r="B82" s="9" t="s">
        <v>100</v>
      </c>
      <c r="C82" s="81" t="s">
        <v>7</v>
      </c>
      <c r="D82" s="55"/>
      <c r="E82" s="272">
        <v>-0.03</v>
      </c>
      <c r="F82" s="273">
        <f t="shared" si="5"/>
        <v>-0.03</v>
      </c>
      <c r="G82" s="274">
        <f t="shared" si="5"/>
        <v>-0.03</v>
      </c>
      <c r="H82" s="36"/>
      <c r="I82" s="1"/>
      <c r="L82" s="1"/>
      <c r="M82" s="1"/>
      <c r="N82" s="1"/>
    </row>
    <row r="83" spans="1:14" ht="16" thickBot="1" x14ac:dyDescent="0.4">
      <c r="A83" s="1"/>
      <c r="B83" s="12" t="s">
        <v>101</v>
      </c>
      <c r="C83" s="115" t="s">
        <v>8</v>
      </c>
      <c r="D83" s="55"/>
      <c r="E83" s="275">
        <f>SUM(E80:E82)</f>
        <v>-0.35</v>
      </c>
      <c r="F83" s="276">
        <f>SUM(F80:F82)</f>
        <v>-0.35</v>
      </c>
      <c r="G83" s="276">
        <f>SUM(G80:G82)</f>
        <v>-0.35</v>
      </c>
      <c r="H83" s="36"/>
      <c r="I83" s="1"/>
      <c r="L83" s="1"/>
      <c r="M83" s="1"/>
      <c r="N83" s="1"/>
    </row>
    <row r="84" spans="1:14" ht="16" thickBot="1" x14ac:dyDescent="0.4">
      <c r="A84" s="1"/>
      <c r="B84" s="12" t="s">
        <v>102</v>
      </c>
      <c r="C84" s="115" t="s">
        <v>8</v>
      </c>
      <c r="D84" s="55"/>
      <c r="E84" s="277">
        <f>1+E83</f>
        <v>0.65</v>
      </c>
      <c r="F84" s="278">
        <f>1+F83</f>
        <v>0.65</v>
      </c>
      <c r="G84" s="278">
        <f>1+G83</f>
        <v>0.65</v>
      </c>
      <c r="H84" s="36"/>
      <c r="I84" s="1"/>
      <c r="L84" s="1"/>
      <c r="M84" s="1"/>
      <c r="N84" s="1"/>
    </row>
    <row r="85" spans="1:14" x14ac:dyDescent="0.35">
      <c r="A85" s="1"/>
      <c r="B85" s="28"/>
      <c r="C85" s="70"/>
      <c r="D85" s="70"/>
      <c r="E85" s="149"/>
      <c r="F85" s="149"/>
      <c r="G85" s="150"/>
      <c r="H85" s="36"/>
      <c r="I85" s="1"/>
      <c r="L85" s="1"/>
      <c r="M85" s="1"/>
      <c r="N85" s="1"/>
    </row>
    <row r="86" spans="1:14" ht="16" thickBot="1" x14ac:dyDescent="0.4">
      <c r="A86" s="1"/>
      <c r="B86" s="117" t="s">
        <v>17</v>
      </c>
      <c r="C86" s="89"/>
      <c r="D86" s="89"/>
      <c r="E86" s="152"/>
      <c r="F86" s="152"/>
      <c r="G86" s="155"/>
      <c r="H86" s="36"/>
      <c r="I86" s="1"/>
      <c r="L86" s="1"/>
      <c r="M86" s="1"/>
      <c r="N86" s="1"/>
    </row>
    <row r="87" spans="1:14" ht="17.5" x14ac:dyDescent="0.45">
      <c r="A87" s="1"/>
      <c r="B87" s="14" t="s">
        <v>103</v>
      </c>
      <c r="C87" s="118" t="s">
        <v>18</v>
      </c>
      <c r="D87" s="1"/>
      <c r="E87" s="160"/>
      <c r="F87" s="160"/>
      <c r="G87" s="279">
        <v>1.7000000000000001E-2</v>
      </c>
      <c r="H87" s="36"/>
      <c r="I87" s="1"/>
      <c r="L87" s="1"/>
      <c r="M87" s="1"/>
      <c r="N87" s="1"/>
    </row>
    <row r="88" spans="1:14" ht="17.5" x14ac:dyDescent="0.35">
      <c r="A88" s="1"/>
      <c r="B88" s="8" t="s">
        <v>104</v>
      </c>
      <c r="C88" s="54" t="s">
        <v>7</v>
      </c>
      <c r="D88" s="55"/>
      <c r="E88" s="161"/>
      <c r="F88" s="161"/>
      <c r="G88" s="25">
        <v>1E-3</v>
      </c>
      <c r="H88" s="36"/>
      <c r="I88" s="1"/>
      <c r="L88" s="1"/>
      <c r="M88" s="1"/>
      <c r="N88" s="1"/>
    </row>
    <row r="89" spans="1:14" ht="17.5" x14ac:dyDescent="0.35">
      <c r="A89" s="1"/>
      <c r="B89" s="8" t="s">
        <v>105</v>
      </c>
      <c r="C89" s="54" t="s">
        <v>7</v>
      </c>
      <c r="D89" s="55"/>
      <c r="E89" s="162"/>
      <c r="F89" s="162"/>
      <c r="G89" s="25">
        <v>0</v>
      </c>
      <c r="H89" s="36"/>
      <c r="I89" s="1"/>
      <c r="L89" s="1"/>
      <c r="M89" s="1"/>
      <c r="N89" s="1"/>
    </row>
    <row r="90" spans="1:14" ht="17.5" x14ac:dyDescent="0.35">
      <c r="A90" s="1"/>
      <c r="B90" s="8" t="s">
        <v>106</v>
      </c>
      <c r="C90" s="54" t="s">
        <v>7</v>
      </c>
      <c r="D90" s="55"/>
      <c r="E90" s="162"/>
      <c r="F90" s="162"/>
      <c r="G90" s="25">
        <v>0</v>
      </c>
      <c r="H90" s="36"/>
      <c r="I90" s="1"/>
      <c r="L90" s="1"/>
      <c r="M90" s="1"/>
      <c r="N90" s="1"/>
    </row>
    <row r="91" spans="1:14" ht="17.5" x14ac:dyDescent="0.35">
      <c r="A91" s="1"/>
      <c r="B91" s="8" t="s">
        <v>107</v>
      </c>
      <c r="C91" s="54" t="s">
        <v>7</v>
      </c>
      <c r="D91" s="55"/>
      <c r="E91" s="162"/>
      <c r="F91" s="162"/>
      <c r="G91" s="25">
        <v>0</v>
      </c>
      <c r="H91" s="36"/>
      <c r="I91" s="1"/>
      <c r="L91" s="1"/>
      <c r="M91" s="1"/>
      <c r="N91" s="1"/>
    </row>
    <row r="92" spans="1:14" x14ac:dyDescent="0.35">
      <c r="A92" s="1"/>
      <c r="B92" s="10" t="s">
        <v>108</v>
      </c>
      <c r="C92" s="68" t="s">
        <v>8</v>
      </c>
      <c r="D92" s="55"/>
      <c r="E92" s="162"/>
      <c r="F92" s="162"/>
      <c r="G92" s="280">
        <f>G87-G88+G89+G90+G91</f>
        <v>1.6E-2</v>
      </c>
      <c r="H92" s="36"/>
      <c r="I92" s="1"/>
      <c r="L92" s="1"/>
      <c r="M92" s="1"/>
      <c r="N92" s="1"/>
    </row>
    <row r="93" spans="1:14" x14ac:dyDescent="0.35">
      <c r="A93" s="1"/>
      <c r="B93" s="119" t="s">
        <v>38</v>
      </c>
      <c r="C93" s="68" t="s">
        <v>8</v>
      </c>
      <c r="D93" s="55"/>
      <c r="E93" s="162"/>
      <c r="F93" s="162"/>
      <c r="G93" s="280">
        <f>(1+G92)</f>
        <v>1.016</v>
      </c>
      <c r="H93" s="36"/>
      <c r="I93" s="1"/>
      <c r="L93" s="1"/>
      <c r="M93" s="1"/>
      <c r="N93" s="1"/>
    </row>
    <row r="94" spans="1:14" ht="17.5" x14ac:dyDescent="0.35">
      <c r="A94" s="1"/>
      <c r="B94" s="10" t="s">
        <v>120</v>
      </c>
      <c r="C94" s="120" t="s">
        <v>8</v>
      </c>
      <c r="D94" s="70"/>
      <c r="E94" s="285"/>
      <c r="F94" s="285"/>
      <c r="G94" s="284">
        <f>G70</f>
        <v>257174.83620391978</v>
      </c>
      <c r="H94" s="36"/>
      <c r="I94" s="1"/>
      <c r="L94" s="1"/>
      <c r="M94" s="1"/>
      <c r="N94" s="1"/>
    </row>
    <row r="95" spans="1:14" ht="17.5" x14ac:dyDescent="0.35">
      <c r="A95" s="1"/>
      <c r="B95" s="16" t="s">
        <v>109</v>
      </c>
      <c r="C95" s="121" t="s">
        <v>7</v>
      </c>
      <c r="D95" s="70"/>
      <c r="E95" s="162"/>
      <c r="F95" s="162"/>
      <c r="G95" s="31">
        <v>147048.78280835866</v>
      </c>
      <c r="H95" s="36"/>
      <c r="I95" s="1"/>
      <c r="L95" s="1"/>
      <c r="M95" s="1"/>
      <c r="N95" s="1"/>
    </row>
    <row r="96" spans="1:14" ht="17.5" x14ac:dyDescent="0.35">
      <c r="A96" s="1"/>
      <c r="B96" s="16" t="s">
        <v>110</v>
      </c>
      <c r="C96" s="121" t="s">
        <v>7</v>
      </c>
      <c r="D96" s="70"/>
      <c r="E96" s="162"/>
      <c r="F96" s="162"/>
      <c r="G96" s="217">
        <f>+G97-G95</f>
        <v>96024.188323461654</v>
      </c>
      <c r="H96" s="36"/>
      <c r="I96" s="1"/>
      <c r="L96" s="1"/>
      <c r="M96" s="1"/>
      <c r="N96" s="1"/>
    </row>
    <row r="97" spans="1:14" ht="18" thickBot="1" x14ac:dyDescent="0.4">
      <c r="A97" s="1"/>
      <c r="B97" s="15" t="s">
        <v>111</v>
      </c>
      <c r="C97" s="120" t="s">
        <v>8</v>
      </c>
      <c r="D97" s="1"/>
      <c r="E97" s="162"/>
      <c r="F97" s="162"/>
      <c r="G97" s="218">
        <v>243072.97113182032</v>
      </c>
      <c r="H97" s="36"/>
      <c r="I97" s="1"/>
      <c r="L97" s="1"/>
      <c r="M97" s="1"/>
      <c r="N97" s="1"/>
    </row>
    <row r="98" spans="1:14" ht="18" thickBot="1" x14ac:dyDescent="0.4">
      <c r="A98" s="1"/>
      <c r="B98" s="12" t="s">
        <v>112</v>
      </c>
      <c r="C98" s="115" t="s">
        <v>8</v>
      </c>
      <c r="D98" s="55"/>
      <c r="E98" s="163"/>
      <c r="F98" s="163"/>
      <c r="G98" s="281">
        <f>G94/G97</f>
        <v>1.0580149450859837</v>
      </c>
      <c r="H98" s="36"/>
      <c r="I98" s="1"/>
      <c r="L98" s="1"/>
      <c r="M98" s="1"/>
      <c r="N98" s="1"/>
    </row>
    <row r="99" spans="1:14" ht="16" thickBot="1" x14ac:dyDescent="0.4">
      <c r="A99" s="1"/>
      <c r="B99" s="28"/>
      <c r="C99" s="70"/>
      <c r="D99" s="70"/>
      <c r="E99" s="149"/>
      <c r="F99" s="149"/>
      <c r="G99" s="155"/>
      <c r="H99" s="36"/>
      <c r="I99" s="1"/>
      <c r="L99" s="1"/>
      <c r="M99" s="1"/>
      <c r="N99" s="1"/>
    </row>
    <row r="100" spans="1:14" ht="17.5" x14ac:dyDescent="0.35">
      <c r="A100" s="1"/>
      <c r="B100" s="17" t="s">
        <v>113</v>
      </c>
      <c r="C100" s="122" t="s">
        <v>8</v>
      </c>
      <c r="D100" s="123"/>
      <c r="E100" s="157"/>
      <c r="F100" s="157"/>
      <c r="G100" s="219">
        <f>IF(G94&lt;=G97*G93,G94,G97*G93)</f>
        <v>246962.13866992944</v>
      </c>
      <c r="H100" s="36"/>
      <c r="I100" s="1"/>
      <c r="L100" s="1"/>
      <c r="M100" s="1"/>
      <c r="N100" s="124"/>
    </row>
    <row r="101" spans="1:14" ht="18" thickBot="1" x14ac:dyDescent="0.4">
      <c r="A101" s="1"/>
      <c r="B101" s="19" t="s">
        <v>114</v>
      </c>
      <c r="C101" s="125" t="s">
        <v>8</v>
      </c>
      <c r="D101" s="20"/>
      <c r="E101" s="159"/>
      <c r="F101" s="159"/>
      <c r="G101" s="220">
        <f>IF(G98&lt;=G93,0,G94-G100)</f>
        <v>10212.697533990344</v>
      </c>
      <c r="H101" s="36"/>
      <c r="I101" s="1"/>
      <c r="L101" s="1"/>
      <c r="M101" s="1"/>
      <c r="N101" s="1"/>
    </row>
    <row r="102" spans="1:14" x14ac:dyDescent="0.35">
      <c r="A102" s="1"/>
      <c r="B102" s="28"/>
      <c r="C102" s="1"/>
      <c r="D102" s="1"/>
      <c r="E102" s="149"/>
      <c r="F102" s="149"/>
      <c r="G102" s="221"/>
      <c r="H102" s="36"/>
      <c r="I102" s="1"/>
      <c r="L102" s="1"/>
      <c r="M102" s="1"/>
      <c r="N102" s="1"/>
    </row>
    <row r="103" spans="1:14" ht="16" thickBot="1" x14ac:dyDescent="0.4">
      <c r="A103" s="1"/>
      <c r="B103" s="117" t="s">
        <v>24</v>
      </c>
      <c r="C103" s="89"/>
      <c r="D103" s="89"/>
      <c r="E103" s="152"/>
      <c r="F103" s="152"/>
      <c r="G103" s="221"/>
      <c r="H103" s="36"/>
      <c r="I103" s="1"/>
      <c r="L103" s="1"/>
      <c r="M103" s="1"/>
      <c r="N103" s="1"/>
    </row>
    <row r="104" spans="1:14" ht="17.5" x14ac:dyDescent="0.35">
      <c r="A104" s="1"/>
      <c r="B104" s="29" t="s">
        <v>115</v>
      </c>
      <c r="C104" s="126" t="s">
        <v>7</v>
      </c>
      <c r="D104" s="18"/>
      <c r="E104" s="157"/>
      <c r="F104" s="157"/>
      <c r="G104" s="222">
        <v>0</v>
      </c>
      <c r="H104" s="56"/>
      <c r="I104" s="124"/>
      <c r="L104" s="1"/>
      <c r="M104" s="1"/>
      <c r="N104" s="1"/>
    </row>
    <row r="105" spans="1:14" ht="18" thickBot="1" x14ac:dyDescent="0.4">
      <c r="A105" s="1"/>
      <c r="B105" s="30" t="s">
        <v>116</v>
      </c>
      <c r="C105" s="127" t="s">
        <v>7</v>
      </c>
      <c r="D105" s="20"/>
      <c r="E105" s="159"/>
      <c r="F105" s="159"/>
      <c r="G105" s="223">
        <v>0</v>
      </c>
      <c r="H105" s="56"/>
      <c r="I105" s="124"/>
      <c r="L105" s="1"/>
      <c r="M105" s="1"/>
      <c r="N105" s="1"/>
    </row>
    <row r="106" spans="1:14" ht="16" thickBot="1" x14ac:dyDescent="0.4">
      <c r="A106" s="1"/>
      <c r="B106" s="128"/>
      <c r="C106" s="128"/>
      <c r="D106" s="128"/>
      <c r="E106" s="164"/>
      <c r="F106" s="164"/>
      <c r="G106" s="224"/>
      <c r="H106" s="36"/>
      <c r="I106" s="1"/>
      <c r="L106" s="1"/>
      <c r="M106" s="1"/>
      <c r="N106" s="1"/>
    </row>
    <row r="107" spans="1:14" ht="16" thickBot="1" x14ac:dyDescent="0.4">
      <c r="B107" s="129" t="s">
        <v>19</v>
      </c>
      <c r="C107" s="130" t="s">
        <v>2</v>
      </c>
      <c r="D107" s="131"/>
      <c r="E107" s="203">
        <v>0</v>
      </c>
      <c r="F107" s="203">
        <v>0</v>
      </c>
      <c r="G107" s="204">
        <f>E107+F107</f>
        <v>0</v>
      </c>
      <c r="H107" s="36"/>
      <c r="N107" s="1"/>
    </row>
    <row r="108" spans="1:14" x14ac:dyDescent="0.35">
      <c r="A108" s="1"/>
      <c r="B108" s="1"/>
      <c r="C108" s="1"/>
      <c r="D108" s="1"/>
      <c r="E108" s="149"/>
      <c r="F108" s="149"/>
      <c r="G108" s="149"/>
      <c r="H108" s="36"/>
      <c r="I108" s="1"/>
      <c r="L108" s="1"/>
      <c r="M108" s="1"/>
      <c r="N108" s="1"/>
    </row>
    <row r="109" spans="1:14" ht="16" thickBot="1" x14ac:dyDescent="0.4">
      <c r="A109" s="1"/>
      <c r="B109" s="132" t="s">
        <v>117</v>
      </c>
      <c r="C109" s="89"/>
      <c r="D109" s="89"/>
      <c r="E109" s="152"/>
      <c r="F109" s="152"/>
      <c r="G109" s="165"/>
      <c r="H109" s="36"/>
      <c r="I109" s="1"/>
      <c r="L109" s="1"/>
      <c r="M109" s="1"/>
      <c r="N109" s="1"/>
    </row>
    <row r="110" spans="1:14" ht="16" thickBot="1" x14ac:dyDescent="0.4">
      <c r="A110" s="1"/>
      <c r="B110" s="133" t="s">
        <v>39</v>
      </c>
      <c r="C110" s="134" t="s">
        <v>8</v>
      </c>
      <c r="D110" s="292"/>
      <c r="E110" s="225">
        <f>MAX(0,E60-2)*(E67+E59)</f>
        <v>0</v>
      </c>
      <c r="F110" s="225">
        <f>MAX(0,F60-2)*(F67+F59)</f>
        <v>0</v>
      </c>
      <c r="G110" s="226">
        <f t="shared" ref="G110:G113" si="6">E110+F110</f>
        <v>0</v>
      </c>
      <c r="H110" s="36"/>
      <c r="I110" s="124"/>
      <c r="L110" s="1"/>
      <c r="M110" s="1"/>
      <c r="N110" s="1"/>
    </row>
    <row r="111" spans="1:14" x14ac:dyDescent="0.35">
      <c r="A111" s="1"/>
      <c r="B111" s="135" t="s">
        <v>40</v>
      </c>
      <c r="C111" s="136" t="s">
        <v>8</v>
      </c>
      <c r="D111" s="137"/>
      <c r="E111" s="227">
        <f>E112+E113</f>
        <v>-31904.820080053163</v>
      </c>
      <c r="F111" s="227">
        <f>F112+F113</f>
        <v>-2865.8751569014885</v>
      </c>
      <c r="G111" s="228">
        <f t="shared" si="6"/>
        <v>-34770.695236954649</v>
      </c>
      <c r="H111" s="36"/>
      <c r="I111" s="124"/>
      <c r="L111" s="1"/>
      <c r="M111" s="1"/>
      <c r="N111" s="1"/>
    </row>
    <row r="112" spans="1:14" x14ac:dyDescent="0.35">
      <c r="A112" s="1"/>
      <c r="B112" s="138" t="s">
        <v>41</v>
      </c>
      <c r="C112" s="139" t="s">
        <v>8</v>
      </c>
      <c r="D112" s="137"/>
      <c r="E112" s="229">
        <f>E120*E20</f>
        <v>-21017.387981813012</v>
      </c>
      <c r="F112" s="229">
        <f>F120*F20</f>
        <v>-8572.5547341535894</v>
      </c>
      <c r="G112" s="230">
        <f t="shared" si="6"/>
        <v>-29589.942715966601</v>
      </c>
      <c r="H112" s="36"/>
      <c r="I112" s="124"/>
      <c r="L112" s="1"/>
      <c r="M112" s="1"/>
      <c r="N112" s="1"/>
    </row>
    <row r="113" spans="1:14" ht="16" thickBot="1" x14ac:dyDescent="0.4">
      <c r="A113" s="1"/>
      <c r="B113" s="140" t="s">
        <v>42</v>
      </c>
      <c r="C113" s="141" t="s">
        <v>8</v>
      </c>
      <c r="D113" s="137"/>
      <c r="E113" s="231">
        <f>E120*E43</f>
        <v>-10887.432098240153</v>
      </c>
      <c r="F113" s="231">
        <f>F120*F43</f>
        <v>5706.6795772521009</v>
      </c>
      <c r="G113" s="232">
        <f t="shared" si="6"/>
        <v>-5180.7525209880523</v>
      </c>
      <c r="H113" s="36"/>
      <c r="I113" s="124"/>
      <c r="L113" s="1"/>
      <c r="M113" s="1"/>
      <c r="N113" s="1"/>
    </row>
    <row r="114" spans="1:14" ht="18" thickBot="1" x14ac:dyDescent="0.4">
      <c r="A114" s="1"/>
      <c r="B114" s="142" t="s">
        <v>118</v>
      </c>
      <c r="C114" s="134" t="s">
        <v>8</v>
      </c>
      <c r="D114" s="137"/>
      <c r="E114" s="233">
        <f>MAX(0,E53-1)*E54</f>
        <v>0</v>
      </c>
      <c r="F114" s="233">
        <f>MAX(0,F53-1)*F54</f>
        <v>0</v>
      </c>
      <c r="G114" s="234">
        <f>MAX(0,G53-1)*G54</f>
        <v>0</v>
      </c>
      <c r="H114" s="36"/>
      <c r="I114" s="124"/>
      <c r="L114" s="1"/>
      <c r="M114" s="1"/>
      <c r="N114" s="1"/>
    </row>
    <row r="115" spans="1:14" ht="16" thickBot="1" x14ac:dyDescent="0.4">
      <c r="A115" s="1"/>
      <c r="B115" s="143" t="s">
        <v>119</v>
      </c>
      <c r="C115" s="144" t="s">
        <v>8</v>
      </c>
      <c r="D115" s="293"/>
      <c r="E115" s="235">
        <f>(E55-E57)+(E63-E65)</f>
        <v>0</v>
      </c>
      <c r="F115" s="235">
        <f>(F55-F57)+(F63-F65)</f>
        <v>0</v>
      </c>
      <c r="G115" s="234">
        <f>(G55-G57)+(G63-G65)</f>
        <v>0</v>
      </c>
      <c r="H115" s="36"/>
      <c r="I115" s="124"/>
      <c r="L115" s="1"/>
      <c r="M115" s="1"/>
      <c r="N115" s="1"/>
    </row>
    <row r="116" spans="1:14" x14ac:dyDescent="0.35">
      <c r="A116" s="1"/>
      <c r="B116" s="1"/>
      <c r="C116" s="1"/>
      <c r="D116" s="1"/>
      <c r="E116" s="149"/>
      <c r="F116" s="149"/>
      <c r="G116" s="149"/>
      <c r="H116" s="36"/>
      <c r="I116" s="1"/>
      <c r="L116" s="1"/>
      <c r="M116" s="1"/>
      <c r="N116" s="32"/>
    </row>
    <row r="117" spans="1:14" x14ac:dyDescent="0.35">
      <c r="A117" s="1"/>
      <c r="B117" s="1"/>
      <c r="C117" s="1"/>
      <c r="D117" s="1"/>
      <c r="E117" s="149"/>
      <c r="F117" s="149"/>
      <c r="G117" s="149"/>
      <c r="H117" s="36"/>
      <c r="I117" s="1"/>
      <c r="L117" s="1"/>
      <c r="M117" s="1"/>
      <c r="N117" s="32"/>
    </row>
    <row r="118" spans="1:14" ht="16" thickBot="1" x14ac:dyDescent="0.4">
      <c r="E118" s="166"/>
      <c r="F118" s="166"/>
      <c r="G118" s="166"/>
      <c r="N118" s="32"/>
    </row>
    <row r="119" spans="1:14" x14ac:dyDescent="0.35">
      <c r="B119" s="146" t="s">
        <v>43</v>
      </c>
      <c r="C119" s="147" t="s">
        <v>8</v>
      </c>
      <c r="D119" s="28"/>
      <c r="E119" s="236">
        <f>E17+E40</f>
        <v>-98168.677169394345</v>
      </c>
      <c r="F119" s="237">
        <f>F17+F40</f>
        <v>-8818.0774058507341</v>
      </c>
      <c r="G119" s="238">
        <f>E119+F119</f>
        <v>-106986.75457524508</v>
      </c>
      <c r="N119" s="32"/>
    </row>
    <row r="120" spans="1:14" ht="16" thickBot="1" x14ac:dyDescent="0.4">
      <c r="B120" s="148" t="s">
        <v>44</v>
      </c>
      <c r="C120" s="127" t="s">
        <v>8</v>
      </c>
      <c r="D120" s="28"/>
      <c r="E120" s="239">
        <f>MAX(0,E19-1)</f>
        <v>1</v>
      </c>
      <c r="F120" s="240">
        <f>MAX(0,F19-1)</f>
        <v>1</v>
      </c>
      <c r="G120" s="241">
        <f>MAX(0,G19-1)</f>
        <v>1</v>
      </c>
      <c r="N120" s="32"/>
    </row>
    <row r="121" spans="1:14" s="290" customFormat="1" x14ac:dyDescent="0.35">
      <c r="A121" s="32"/>
      <c r="B121" s="32"/>
      <c r="C121" s="32"/>
      <c r="D121" s="32"/>
      <c r="E121" s="32"/>
      <c r="F121" s="32"/>
      <c r="G121" s="32"/>
      <c r="H121" s="36"/>
      <c r="I121" s="32"/>
      <c r="J121" s="167"/>
      <c r="K121" s="167"/>
      <c r="L121" s="32"/>
      <c r="M121" s="32"/>
      <c r="N121" s="32"/>
    </row>
    <row r="122" spans="1:14" s="290" customFormat="1" x14ac:dyDescent="0.35">
      <c r="A122" s="32"/>
      <c r="B122" s="32"/>
      <c r="C122" s="32"/>
      <c r="D122" s="32"/>
      <c r="E122" s="32"/>
      <c r="F122" s="32"/>
      <c r="G122" s="32"/>
      <c r="H122" s="36"/>
      <c r="I122" s="32"/>
      <c r="J122" s="167"/>
      <c r="K122" s="167"/>
      <c r="L122" s="32"/>
      <c r="M122" s="32"/>
      <c r="N122" s="32"/>
    </row>
    <row r="123" spans="1:14" s="290" customFormat="1" x14ac:dyDescent="0.35">
      <c r="A123" s="32"/>
      <c r="B123" s="32"/>
      <c r="C123" s="32"/>
      <c r="D123" s="32"/>
      <c r="E123" s="32"/>
      <c r="F123" s="32"/>
      <c r="G123" s="32"/>
      <c r="H123" s="36"/>
      <c r="I123" s="32"/>
      <c r="J123" s="167"/>
      <c r="K123" s="167"/>
      <c r="L123" s="32"/>
      <c r="M123" s="32"/>
      <c r="N123" s="32"/>
    </row>
    <row r="124" spans="1:14" s="290" customFormat="1" x14ac:dyDescent="0.35">
      <c r="A124" s="32"/>
      <c r="B124" s="32"/>
      <c r="C124" s="32"/>
      <c r="D124" s="32"/>
      <c r="E124" s="32"/>
      <c r="F124" s="32"/>
      <c r="G124" s="32"/>
      <c r="H124" s="36"/>
      <c r="I124" s="32"/>
      <c r="J124" s="167"/>
      <c r="K124" s="167"/>
      <c r="L124" s="32"/>
      <c r="M124" s="32"/>
      <c r="N124" s="32"/>
    </row>
    <row r="125" spans="1:14" s="290" customFormat="1" x14ac:dyDescent="0.35">
      <c r="A125" s="32"/>
      <c r="B125" s="32"/>
      <c r="C125" s="32"/>
      <c r="D125" s="32"/>
      <c r="E125" s="32"/>
      <c r="F125" s="32"/>
      <c r="G125" s="32"/>
      <c r="H125" s="36"/>
      <c r="I125" s="32"/>
      <c r="J125" s="167"/>
      <c r="K125" s="167"/>
      <c r="L125" s="32"/>
      <c r="M125" s="32"/>
      <c r="N125" s="32"/>
    </row>
    <row r="126" spans="1:14" s="290" customFormat="1" x14ac:dyDescent="0.35">
      <c r="A126" s="32"/>
      <c r="B126" s="32"/>
      <c r="C126" s="32"/>
      <c r="D126" s="32"/>
      <c r="E126" s="32"/>
      <c r="F126" s="32"/>
      <c r="G126" s="32"/>
      <c r="H126" s="36"/>
      <c r="I126" s="32"/>
      <c r="J126" s="167"/>
      <c r="K126" s="167"/>
      <c r="L126" s="32"/>
      <c r="M126" s="32"/>
      <c r="N126" s="32"/>
    </row>
    <row r="127" spans="1:14" s="290" customFormat="1" x14ac:dyDescent="0.35">
      <c r="A127" s="32"/>
      <c r="B127" s="32"/>
      <c r="C127" s="32"/>
      <c r="D127" s="32"/>
      <c r="E127" s="32"/>
      <c r="F127" s="32"/>
      <c r="G127" s="32"/>
      <c r="H127" s="36"/>
      <c r="I127" s="32"/>
      <c r="J127" s="167"/>
      <c r="K127" s="167"/>
      <c r="L127" s="32"/>
      <c r="M127" s="32"/>
      <c r="N127" s="32"/>
    </row>
    <row r="128" spans="1:14" s="290" customFormat="1" x14ac:dyDescent="0.35">
      <c r="A128" s="32"/>
      <c r="B128" s="32"/>
      <c r="C128" s="32"/>
      <c r="D128" s="32"/>
      <c r="E128" s="32"/>
      <c r="F128" s="32"/>
      <c r="G128" s="32"/>
      <c r="H128" s="36"/>
      <c r="I128" s="32"/>
      <c r="J128" s="167"/>
      <c r="K128" s="167"/>
      <c r="L128" s="32"/>
      <c r="M128" s="32"/>
      <c r="N128" s="32"/>
    </row>
    <row r="129" spans="1:14" s="290" customFormat="1" x14ac:dyDescent="0.35">
      <c r="A129" s="32"/>
      <c r="B129" s="32"/>
      <c r="C129" s="32"/>
      <c r="D129" s="32"/>
      <c r="E129" s="32"/>
      <c r="F129" s="32"/>
      <c r="G129" s="32"/>
      <c r="H129" s="36"/>
      <c r="I129" s="32"/>
      <c r="J129" s="167"/>
      <c r="K129" s="167"/>
      <c r="L129" s="32"/>
      <c r="M129" s="32"/>
      <c r="N129" s="32"/>
    </row>
    <row r="130" spans="1:14" s="290" customFormat="1" x14ac:dyDescent="0.35">
      <c r="A130" s="32"/>
      <c r="B130" s="32"/>
      <c r="C130" s="32"/>
      <c r="D130" s="32"/>
      <c r="E130" s="32"/>
      <c r="F130" s="32"/>
      <c r="G130" s="32"/>
      <c r="H130" s="36"/>
      <c r="I130" s="32"/>
      <c r="J130" s="167"/>
      <c r="K130" s="167"/>
      <c r="L130" s="32"/>
      <c r="M130" s="32"/>
      <c r="N130" s="32"/>
    </row>
    <row r="131" spans="1:14" s="290" customFormat="1" x14ac:dyDescent="0.35">
      <c r="A131" s="32"/>
      <c r="B131" s="32"/>
      <c r="C131" s="32"/>
      <c r="D131" s="32"/>
      <c r="E131" s="32"/>
      <c r="F131" s="32"/>
      <c r="G131" s="32"/>
      <c r="H131" s="36"/>
      <c r="I131" s="32"/>
      <c r="J131" s="167"/>
      <c r="K131" s="167"/>
      <c r="L131" s="32"/>
      <c r="M131" s="32"/>
      <c r="N131" s="32"/>
    </row>
    <row r="132" spans="1:14" s="290" customFormat="1" x14ac:dyDescent="0.35">
      <c r="A132" s="32"/>
      <c r="B132" s="32"/>
      <c r="C132" s="32"/>
      <c r="D132" s="32"/>
      <c r="E132" s="32"/>
      <c r="F132" s="32"/>
      <c r="G132" s="32"/>
      <c r="H132" s="36"/>
      <c r="I132" s="32"/>
      <c r="J132" s="167"/>
      <c r="K132" s="167"/>
      <c r="L132" s="32"/>
      <c r="M132" s="32"/>
      <c r="N132" s="32"/>
    </row>
    <row r="133" spans="1:14" s="290" customFormat="1" x14ac:dyDescent="0.35">
      <c r="A133" s="32"/>
      <c r="B133" s="32"/>
      <c r="C133" s="32"/>
      <c r="D133" s="32"/>
      <c r="E133" s="32"/>
      <c r="F133" s="32"/>
      <c r="G133" s="32"/>
      <c r="H133" s="36"/>
      <c r="I133" s="32"/>
      <c r="J133" s="167"/>
      <c r="K133" s="167"/>
      <c r="L133" s="32"/>
      <c r="M133" s="32"/>
      <c r="N133" s="32"/>
    </row>
    <row r="134" spans="1:14" s="290" customFormat="1" x14ac:dyDescent="0.35">
      <c r="A134" s="32"/>
      <c r="B134" s="32"/>
      <c r="C134" s="32"/>
      <c r="D134" s="32"/>
      <c r="E134" s="32"/>
      <c r="F134" s="32"/>
      <c r="G134" s="32"/>
      <c r="H134" s="36"/>
      <c r="I134" s="32"/>
      <c r="J134" s="167"/>
      <c r="K134" s="167"/>
      <c r="L134" s="32"/>
      <c r="M134" s="32"/>
      <c r="N134" s="32"/>
    </row>
    <row r="135" spans="1:14" s="290" customFormat="1" x14ac:dyDescent="0.35">
      <c r="A135" s="32"/>
      <c r="B135" s="32"/>
      <c r="C135" s="32"/>
      <c r="D135" s="32"/>
      <c r="E135" s="32"/>
      <c r="F135" s="32"/>
      <c r="G135" s="32"/>
      <c r="H135" s="36"/>
      <c r="I135" s="32"/>
      <c r="J135" s="167"/>
      <c r="K135" s="167"/>
      <c r="L135" s="32"/>
      <c r="M135" s="32"/>
      <c r="N135" s="32"/>
    </row>
    <row r="136" spans="1:14" s="290" customFormat="1" x14ac:dyDescent="0.35">
      <c r="A136" s="32"/>
      <c r="B136" s="32"/>
      <c r="C136" s="32"/>
      <c r="D136" s="32"/>
      <c r="E136" s="32"/>
      <c r="F136" s="32"/>
      <c r="G136" s="32"/>
      <c r="H136" s="36"/>
      <c r="I136" s="32"/>
      <c r="J136" s="167"/>
      <c r="K136" s="167"/>
      <c r="L136" s="32"/>
      <c r="M136" s="32"/>
      <c r="N136" s="32"/>
    </row>
    <row r="137" spans="1:14" s="290" customFormat="1" x14ac:dyDescent="0.35">
      <c r="A137" s="32"/>
      <c r="B137" s="32"/>
      <c r="C137" s="32"/>
      <c r="D137" s="32"/>
      <c r="E137" s="32"/>
      <c r="F137" s="32"/>
      <c r="G137" s="32"/>
      <c r="H137" s="36"/>
      <c r="I137" s="32"/>
      <c r="J137" s="167"/>
      <c r="K137" s="167"/>
      <c r="L137" s="32"/>
      <c r="M137" s="32"/>
      <c r="N137" s="32"/>
    </row>
    <row r="138" spans="1:14" s="290" customFormat="1" x14ac:dyDescent="0.35">
      <c r="A138" s="32"/>
      <c r="B138" s="32"/>
      <c r="C138" s="32"/>
      <c r="D138" s="32"/>
      <c r="E138" s="32"/>
      <c r="F138" s="32"/>
      <c r="G138" s="32"/>
      <c r="H138" s="36"/>
      <c r="I138" s="32"/>
      <c r="J138" s="167"/>
      <c r="K138" s="167"/>
      <c r="L138" s="32"/>
      <c r="M138" s="32"/>
      <c r="N138" s="32"/>
    </row>
    <row r="139" spans="1:14" s="290" customFormat="1" x14ac:dyDescent="0.35">
      <c r="A139" s="32"/>
      <c r="B139" s="32"/>
      <c r="C139" s="32"/>
      <c r="D139" s="32"/>
      <c r="E139" s="32"/>
      <c r="F139" s="32"/>
      <c r="G139" s="32"/>
      <c r="H139" s="36"/>
      <c r="I139" s="32"/>
      <c r="J139" s="167"/>
      <c r="K139" s="167"/>
      <c r="L139" s="32"/>
      <c r="M139" s="32"/>
      <c r="N139" s="32"/>
    </row>
    <row r="140" spans="1:14" s="290" customFormat="1" x14ac:dyDescent="0.35">
      <c r="A140" s="32"/>
      <c r="B140" s="32"/>
      <c r="C140" s="32"/>
      <c r="D140" s="32"/>
      <c r="E140" s="32"/>
      <c r="F140" s="32"/>
      <c r="G140" s="32"/>
      <c r="H140" s="36"/>
      <c r="I140" s="32"/>
      <c r="J140" s="167"/>
      <c r="K140" s="167"/>
      <c r="L140" s="32"/>
      <c r="M140" s="32"/>
      <c r="N140" s="32"/>
    </row>
    <row r="141" spans="1:14" s="290" customFormat="1" x14ac:dyDescent="0.35">
      <c r="A141" s="32"/>
      <c r="B141" s="32"/>
      <c r="C141" s="32"/>
      <c r="D141" s="32"/>
      <c r="E141" s="32"/>
      <c r="F141" s="32"/>
      <c r="G141" s="32"/>
      <c r="H141" s="36"/>
      <c r="I141" s="32"/>
      <c r="J141" s="167"/>
      <c r="K141" s="167"/>
      <c r="L141" s="32"/>
      <c r="M141" s="32"/>
      <c r="N141" s="32"/>
    </row>
    <row r="142" spans="1:14" s="290" customFormat="1" x14ac:dyDescent="0.35">
      <c r="A142" s="32"/>
      <c r="B142" s="32"/>
      <c r="C142" s="32"/>
      <c r="D142" s="32"/>
      <c r="E142" s="32"/>
      <c r="F142" s="32"/>
      <c r="G142" s="32"/>
      <c r="H142" s="36"/>
      <c r="I142" s="32"/>
      <c r="J142" s="167"/>
      <c r="K142" s="167"/>
      <c r="L142" s="32"/>
      <c r="M142" s="32"/>
      <c r="N142" s="32"/>
    </row>
    <row r="143" spans="1:14" s="290" customFormat="1" x14ac:dyDescent="0.35">
      <c r="A143" s="32"/>
      <c r="B143" s="32"/>
      <c r="C143" s="32"/>
      <c r="D143" s="32"/>
      <c r="E143" s="32"/>
      <c r="F143" s="32"/>
      <c r="G143" s="32"/>
      <c r="H143" s="36"/>
      <c r="I143" s="32"/>
      <c r="J143" s="167"/>
      <c r="K143" s="167"/>
      <c r="L143" s="32"/>
      <c r="M143" s="32"/>
      <c r="N143" s="32"/>
    </row>
    <row r="144" spans="1:14" s="290" customFormat="1" x14ac:dyDescent="0.35">
      <c r="A144" s="32"/>
      <c r="B144" s="32"/>
      <c r="C144" s="32"/>
      <c r="D144" s="32"/>
      <c r="E144" s="32"/>
      <c r="F144" s="32"/>
      <c r="G144" s="32"/>
      <c r="H144" s="36"/>
      <c r="I144" s="32"/>
      <c r="J144" s="167"/>
      <c r="K144" s="167"/>
      <c r="L144" s="32"/>
      <c r="M144" s="32"/>
      <c r="N144" s="32"/>
    </row>
    <row r="145" spans="1:14" s="290" customFormat="1" x14ac:dyDescent="0.35">
      <c r="A145" s="32"/>
      <c r="B145" s="32"/>
      <c r="C145" s="32"/>
      <c r="D145" s="32"/>
      <c r="E145" s="32"/>
      <c r="F145" s="32"/>
      <c r="G145" s="32"/>
      <c r="H145" s="36"/>
      <c r="I145" s="32"/>
      <c r="J145" s="167"/>
      <c r="K145" s="167"/>
      <c r="L145" s="32"/>
      <c r="M145" s="32"/>
      <c r="N145" s="32"/>
    </row>
    <row r="146" spans="1:14" s="290" customFormat="1" x14ac:dyDescent="0.35">
      <c r="A146" s="32"/>
      <c r="B146" s="32"/>
      <c r="C146" s="32"/>
      <c r="D146" s="32"/>
      <c r="E146" s="32"/>
      <c r="F146" s="32"/>
      <c r="G146" s="32"/>
      <c r="H146" s="36"/>
      <c r="I146" s="32"/>
      <c r="J146" s="167"/>
      <c r="K146" s="167"/>
      <c r="L146" s="32"/>
      <c r="M146" s="32"/>
      <c r="N146" s="32"/>
    </row>
    <row r="147" spans="1:14" s="290" customFormat="1" x14ac:dyDescent="0.35">
      <c r="A147" s="32"/>
      <c r="B147" s="32"/>
      <c r="C147" s="32"/>
      <c r="D147" s="32"/>
      <c r="E147" s="32"/>
      <c r="F147" s="32"/>
      <c r="G147" s="32"/>
      <c r="H147" s="36"/>
      <c r="I147" s="32"/>
      <c r="J147" s="167"/>
      <c r="K147" s="167"/>
      <c r="L147" s="32"/>
      <c r="M147" s="32"/>
      <c r="N147" s="32"/>
    </row>
    <row r="148" spans="1:14" s="290" customFormat="1" x14ac:dyDescent="0.35">
      <c r="A148" s="32"/>
      <c r="B148" s="32"/>
      <c r="C148" s="32"/>
      <c r="D148" s="32"/>
      <c r="E148" s="32"/>
      <c r="F148" s="32"/>
      <c r="G148" s="32"/>
      <c r="H148" s="36"/>
      <c r="I148" s="32"/>
      <c r="J148" s="167"/>
      <c r="K148" s="167"/>
      <c r="L148" s="32"/>
      <c r="M148" s="32"/>
      <c r="N148" s="32"/>
    </row>
    <row r="149" spans="1:14" s="290" customFormat="1" x14ac:dyDescent="0.35">
      <c r="A149" s="32"/>
      <c r="B149" s="32"/>
      <c r="C149" s="32"/>
      <c r="D149" s="32"/>
      <c r="E149" s="32"/>
      <c r="F149" s="32"/>
      <c r="G149" s="32"/>
      <c r="H149" s="36"/>
      <c r="I149" s="32"/>
      <c r="J149" s="167"/>
      <c r="K149" s="167"/>
      <c r="L149" s="32"/>
      <c r="M149" s="32"/>
      <c r="N149" s="32"/>
    </row>
    <row r="150" spans="1:14" s="290" customFormat="1" x14ac:dyDescent="0.35">
      <c r="A150" s="32"/>
      <c r="B150" s="32"/>
      <c r="C150" s="32"/>
      <c r="D150" s="32"/>
      <c r="E150" s="32"/>
      <c r="F150" s="32"/>
      <c r="G150" s="32"/>
      <c r="H150" s="36"/>
      <c r="I150" s="32"/>
      <c r="J150" s="167"/>
      <c r="K150" s="167"/>
      <c r="L150" s="32"/>
      <c r="M150" s="32"/>
      <c r="N150" s="32"/>
    </row>
    <row r="151" spans="1:14" s="290" customFormat="1" x14ac:dyDescent="0.35">
      <c r="A151" s="32"/>
      <c r="B151" s="32"/>
      <c r="C151" s="32"/>
      <c r="D151" s="32"/>
      <c r="E151" s="32"/>
      <c r="F151" s="32"/>
      <c r="G151" s="32"/>
      <c r="H151" s="36"/>
      <c r="I151" s="32"/>
      <c r="J151" s="167"/>
      <c r="K151" s="167"/>
      <c r="L151" s="32"/>
      <c r="M151" s="32"/>
      <c r="N151" s="32"/>
    </row>
    <row r="152" spans="1:14" s="290" customFormat="1" x14ac:dyDescent="0.35">
      <c r="A152" s="32"/>
      <c r="B152" s="32"/>
      <c r="C152" s="32"/>
      <c r="D152" s="32"/>
      <c r="E152" s="32"/>
      <c r="F152" s="32"/>
      <c r="G152" s="32"/>
      <c r="H152" s="36"/>
      <c r="I152" s="32"/>
      <c r="J152" s="167"/>
      <c r="K152" s="167"/>
      <c r="L152" s="32"/>
      <c r="M152" s="32"/>
      <c r="N152" s="32"/>
    </row>
    <row r="153" spans="1:14" s="290" customFormat="1" x14ac:dyDescent="0.35">
      <c r="A153" s="32"/>
      <c r="B153" s="32"/>
      <c r="C153" s="32"/>
      <c r="D153" s="32"/>
      <c r="E153" s="32"/>
      <c r="F153" s="32"/>
      <c r="G153" s="32"/>
      <c r="H153" s="36"/>
      <c r="I153" s="32"/>
      <c r="J153" s="167"/>
      <c r="K153" s="167"/>
      <c r="L153" s="32"/>
      <c r="M153" s="32"/>
      <c r="N153" s="32"/>
    </row>
    <row r="154" spans="1:14" s="290" customFormat="1" x14ac:dyDescent="0.35">
      <c r="A154" s="32"/>
      <c r="B154" s="32"/>
      <c r="C154" s="32"/>
      <c r="D154" s="32"/>
      <c r="E154" s="32"/>
      <c r="F154" s="32"/>
      <c r="G154" s="32"/>
      <c r="H154" s="36"/>
      <c r="I154" s="32"/>
      <c r="J154" s="167"/>
      <c r="K154" s="167"/>
      <c r="L154" s="32"/>
      <c r="M154" s="32"/>
      <c r="N154" s="32"/>
    </row>
    <row r="155" spans="1:14" s="290" customFormat="1" x14ac:dyDescent="0.35">
      <c r="A155" s="32"/>
      <c r="B155" s="32"/>
      <c r="C155" s="32"/>
      <c r="D155" s="32"/>
      <c r="E155" s="32"/>
      <c r="F155" s="32"/>
      <c r="G155" s="32"/>
      <c r="H155" s="36"/>
      <c r="I155" s="32"/>
      <c r="J155" s="167"/>
      <c r="K155" s="167"/>
      <c r="L155" s="32"/>
      <c r="M155" s="32"/>
      <c r="N155" s="32"/>
    </row>
    <row r="156" spans="1:14" s="290" customFormat="1" x14ac:dyDescent="0.35">
      <c r="A156" s="32"/>
      <c r="B156" s="32"/>
      <c r="C156" s="32"/>
      <c r="D156" s="32"/>
      <c r="E156" s="32"/>
      <c r="F156" s="32"/>
      <c r="G156" s="32"/>
      <c r="H156" s="36"/>
      <c r="I156" s="32"/>
      <c r="J156" s="167"/>
      <c r="K156" s="167"/>
      <c r="L156" s="32"/>
      <c r="M156" s="32"/>
      <c r="N156" s="32"/>
    </row>
    <row r="157" spans="1:14" s="290" customFormat="1" x14ac:dyDescent="0.35">
      <c r="A157" s="32"/>
      <c r="B157" s="32"/>
      <c r="C157" s="32"/>
      <c r="D157" s="32"/>
      <c r="E157" s="32"/>
      <c r="F157" s="32"/>
      <c r="G157" s="32"/>
      <c r="H157" s="36"/>
      <c r="I157" s="32"/>
      <c r="J157" s="167"/>
      <c r="K157" s="167"/>
      <c r="L157" s="32"/>
      <c r="M157" s="32"/>
      <c r="N157" s="32"/>
    </row>
    <row r="158" spans="1:14" s="290" customFormat="1" x14ac:dyDescent="0.35">
      <c r="A158" s="32"/>
      <c r="B158" s="32"/>
      <c r="C158" s="32"/>
      <c r="D158" s="32"/>
      <c r="E158" s="32"/>
      <c r="F158" s="32"/>
      <c r="G158" s="32"/>
      <c r="H158" s="36"/>
      <c r="I158" s="32"/>
      <c r="J158" s="167"/>
      <c r="K158" s="167"/>
      <c r="L158" s="32"/>
      <c r="M158" s="32"/>
      <c r="N158" s="32"/>
    </row>
    <row r="159" spans="1:14" s="290" customFormat="1" x14ac:dyDescent="0.35">
      <c r="A159" s="32"/>
      <c r="B159" s="32"/>
      <c r="C159" s="32"/>
      <c r="D159" s="32"/>
      <c r="E159" s="32"/>
      <c r="F159" s="32"/>
      <c r="G159" s="32"/>
      <c r="H159" s="36"/>
      <c r="I159" s="32"/>
      <c r="J159" s="167"/>
      <c r="K159" s="167"/>
      <c r="L159" s="32"/>
      <c r="M159" s="32"/>
      <c r="N159" s="32"/>
    </row>
    <row r="160" spans="1:14" s="290" customFormat="1" x14ac:dyDescent="0.35">
      <c r="A160" s="32"/>
      <c r="B160" s="32"/>
      <c r="C160" s="32"/>
      <c r="D160" s="32"/>
      <c r="E160" s="32"/>
      <c r="F160" s="32"/>
      <c r="G160" s="32"/>
      <c r="H160" s="36"/>
      <c r="I160" s="32"/>
      <c r="J160" s="167"/>
      <c r="K160" s="167"/>
      <c r="L160" s="32"/>
      <c r="M160" s="32"/>
      <c r="N160" s="32"/>
    </row>
    <row r="161" spans="1:14" s="290" customFormat="1" x14ac:dyDescent="0.35">
      <c r="A161" s="32"/>
      <c r="B161" s="32"/>
      <c r="C161" s="32"/>
      <c r="D161" s="32"/>
      <c r="E161" s="32"/>
      <c r="F161" s="32"/>
      <c r="G161" s="32"/>
      <c r="H161" s="36"/>
      <c r="I161" s="32"/>
      <c r="J161" s="167"/>
      <c r="K161" s="167"/>
      <c r="L161" s="32"/>
      <c r="M161" s="32"/>
      <c r="N161" s="32"/>
    </row>
    <row r="162" spans="1:14" s="290" customFormat="1" x14ac:dyDescent="0.35">
      <c r="A162" s="32"/>
      <c r="B162" s="32"/>
      <c r="C162" s="32"/>
      <c r="D162" s="32"/>
      <c r="E162" s="32"/>
      <c r="F162" s="32"/>
      <c r="G162" s="32"/>
      <c r="H162" s="36"/>
      <c r="I162" s="32"/>
      <c r="J162" s="167"/>
      <c r="K162" s="167"/>
      <c r="L162" s="32"/>
      <c r="M162" s="32"/>
      <c r="N162" s="32"/>
    </row>
    <row r="163" spans="1:14" s="290" customFormat="1" x14ac:dyDescent="0.35">
      <c r="A163" s="32"/>
      <c r="B163" s="32"/>
      <c r="C163" s="32"/>
      <c r="D163" s="32"/>
      <c r="E163" s="32"/>
      <c r="F163" s="32"/>
      <c r="G163" s="32"/>
      <c r="H163" s="36"/>
      <c r="I163" s="32"/>
      <c r="J163" s="167"/>
      <c r="K163" s="167"/>
      <c r="L163" s="32"/>
      <c r="M163" s="32"/>
      <c r="N163" s="32"/>
    </row>
    <row r="164" spans="1:14" s="290" customFormat="1" x14ac:dyDescent="0.35">
      <c r="A164" s="32"/>
      <c r="B164" s="32"/>
      <c r="C164" s="32"/>
      <c r="D164" s="32"/>
      <c r="E164" s="32"/>
      <c r="F164" s="32"/>
      <c r="G164" s="32"/>
      <c r="H164" s="36"/>
      <c r="I164" s="32"/>
      <c r="J164" s="167"/>
      <c r="K164" s="167"/>
      <c r="L164" s="32"/>
      <c r="M164" s="32"/>
      <c r="N164" s="32"/>
    </row>
    <row r="165" spans="1:14" s="290" customFormat="1" x14ac:dyDescent="0.35">
      <c r="A165" s="32"/>
      <c r="B165" s="32"/>
      <c r="C165" s="32"/>
      <c r="D165" s="32"/>
      <c r="E165" s="32"/>
      <c r="F165" s="32"/>
      <c r="G165" s="32"/>
      <c r="H165" s="36"/>
      <c r="I165" s="32"/>
      <c r="J165" s="167"/>
      <c r="K165" s="167"/>
      <c r="L165" s="32"/>
      <c r="M165" s="32"/>
      <c r="N165" s="32"/>
    </row>
    <row r="166" spans="1:14" s="290" customFormat="1" x14ac:dyDescent="0.35">
      <c r="A166" s="32"/>
      <c r="B166" s="32"/>
      <c r="C166" s="32"/>
      <c r="D166" s="32"/>
      <c r="E166" s="32"/>
      <c r="F166" s="32"/>
      <c r="G166" s="32"/>
      <c r="H166" s="36"/>
      <c r="I166" s="32"/>
      <c r="J166" s="167"/>
      <c r="K166" s="167"/>
      <c r="L166" s="32"/>
      <c r="M166" s="32"/>
      <c r="N166" s="32"/>
    </row>
    <row r="167" spans="1:14" s="290" customFormat="1" x14ac:dyDescent="0.35">
      <c r="A167" s="32"/>
      <c r="B167" s="32"/>
      <c r="C167" s="32"/>
      <c r="D167" s="32"/>
      <c r="E167" s="32"/>
      <c r="F167" s="32"/>
      <c r="G167" s="32"/>
      <c r="H167" s="36"/>
      <c r="I167" s="32"/>
      <c r="J167" s="167"/>
      <c r="K167" s="167"/>
      <c r="L167" s="32"/>
      <c r="M167" s="32"/>
      <c r="N167" s="32"/>
    </row>
    <row r="168" spans="1:14" s="290" customFormat="1" x14ac:dyDescent="0.35">
      <c r="A168" s="32"/>
      <c r="B168" s="32"/>
      <c r="C168" s="32"/>
      <c r="D168" s="32"/>
      <c r="E168" s="32"/>
      <c r="F168" s="32"/>
      <c r="G168" s="32"/>
      <c r="H168" s="36"/>
      <c r="I168" s="32"/>
      <c r="J168" s="167"/>
      <c r="K168" s="167"/>
      <c r="L168" s="32"/>
      <c r="M168" s="32"/>
      <c r="N168" s="32"/>
    </row>
    <row r="169" spans="1:14" s="290" customFormat="1" x14ac:dyDescent="0.35">
      <c r="A169" s="32"/>
      <c r="B169" s="32"/>
      <c r="C169" s="32"/>
      <c r="D169" s="32"/>
      <c r="E169" s="32"/>
      <c r="F169" s="32"/>
      <c r="G169" s="32"/>
      <c r="H169" s="36"/>
      <c r="I169" s="32"/>
      <c r="J169" s="167"/>
      <c r="K169" s="167"/>
      <c r="L169" s="32"/>
      <c r="M169" s="32"/>
      <c r="N169" s="32"/>
    </row>
    <row r="170" spans="1:14" s="290" customFormat="1" x14ac:dyDescent="0.35">
      <c r="A170" s="32"/>
      <c r="B170" s="32"/>
      <c r="C170" s="32"/>
      <c r="D170" s="32"/>
      <c r="E170" s="32"/>
      <c r="F170" s="32"/>
      <c r="G170" s="32"/>
      <c r="H170" s="36"/>
      <c r="I170" s="32"/>
      <c r="J170" s="167"/>
      <c r="K170" s="167"/>
      <c r="L170" s="32"/>
      <c r="M170" s="32"/>
      <c r="N170" s="32"/>
    </row>
    <row r="171" spans="1:14" s="290" customFormat="1" x14ac:dyDescent="0.35">
      <c r="A171" s="32"/>
      <c r="B171" s="32"/>
      <c r="C171" s="32"/>
      <c r="D171" s="32"/>
      <c r="E171" s="32"/>
      <c r="F171" s="32"/>
      <c r="G171" s="32"/>
      <c r="H171" s="36"/>
      <c r="I171" s="32"/>
      <c r="J171" s="167"/>
      <c r="K171" s="167"/>
      <c r="L171" s="32"/>
      <c r="M171" s="32"/>
      <c r="N171" s="32"/>
    </row>
    <row r="172" spans="1:14" s="290" customFormat="1" x14ac:dyDescent="0.35">
      <c r="A172" s="32"/>
      <c r="B172" s="32"/>
      <c r="C172" s="32"/>
      <c r="D172" s="32"/>
      <c r="E172" s="32"/>
      <c r="F172" s="32"/>
      <c r="G172" s="32"/>
      <c r="H172" s="36"/>
      <c r="I172" s="32"/>
      <c r="J172" s="167"/>
      <c r="K172" s="167"/>
      <c r="L172" s="32"/>
      <c r="M172" s="32"/>
      <c r="N172" s="32"/>
    </row>
    <row r="173" spans="1:14" s="290" customFormat="1" x14ac:dyDescent="0.35">
      <c r="A173" s="32"/>
      <c r="B173" s="32"/>
      <c r="C173" s="32"/>
      <c r="D173" s="32"/>
      <c r="E173" s="32"/>
      <c r="F173" s="32"/>
      <c r="G173" s="32"/>
      <c r="H173" s="36"/>
      <c r="I173" s="32"/>
      <c r="J173" s="167"/>
      <c r="K173" s="167"/>
      <c r="L173" s="32"/>
      <c r="M173" s="32"/>
      <c r="N173" s="32"/>
    </row>
    <row r="174" spans="1:14" s="290" customFormat="1" x14ac:dyDescent="0.35">
      <c r="A174" s="32"/>
      <c r="B174" s="32"/>
      <c r="C174" s="32"/>
      <c r="D174" s="32"/>
      <c r="E174" s="32"/>
      <c r="F174" s="32"/>
      <c r="G174" s="32"/>
      <c r="H174" s="36"/>
      <c r="I174" s="32"/>
      <c r="J174" s="167"/>
      <c r="K174" s="167"/>
      <c r="L174" s="32"/>
      <c r="M174" s="32"/>
      <c r="N174" s="32"/>
    </row>
    <row r="175" spans="1:14" s="290" customFormat="1" x14ac:dyDescent="0.35">
      <c r="A175" s="32"/>
      <c r="B175" s="32"/>
      <c r="C175" s="32"/>
      <c r="D175" s="32"/>
      <c r="E175" s="32"/>
      <c r="F175" s="32"/>
      <c r="G175" s="32"/>
      <c r="H175" s="36"/>
      <c r="I175" s="32"/>
      <c r="J175" s="167"/>
      <c r="K175" s="167"/>
      <c r="L175" s="32"/>
      <c r="M175" s="32"/>
      <c r="N175" s="32"/>
    </row>
    <row r="176" spans="1:14" s="290" customFormat="1" x14ac:dyDescent="0.35">
      <c r="A176" s="32"/>
      <c r="B176" s="32"/>
      <c r="C176" s="32"/>
      <c r="D176" s="32"/>
      <c r="E176" s="32"/>
      <c r="F176" s="32"/>
      <c r="G176" s="32"/>
      <c r="H176" s="36"/>
      <c r="I176" s="32"/>
      <c r="J176" s="167"/>
      <c r="K176" s="167"/>
      <c r="L176" s="32"/>
      <c r="M176" s="32"/>
      <c r="N176" s="32"/>
    </row>
    <row r="177" spans="1:14" s="290" customFormat="1" x14ac:dyDescent="0.35">
      <c r="A177" s="32"/>
      <c r="B177" s="32"/>
      <c r="C177" s="32"/>
      <c r="D177" s="32"/>
      <c r="E177" s="32"/>
      <c r="F177" s="32"/>
      <c r="G177" s="32"/>
      <c r="H177" s="36"/>
      <c r="I177" s="32"/>
      <c r="J177" s="167"/>
      <c r="K177" s="167"/>
      <c r="L177" s="32"/>
      <c r="M177" s="32"/>
      <c r="N177" s="32"/>
    </row>
    <row r="178" spans="1:14" s="290" customFormat="1" x14ac:dyDescent="0.35">
      <c r="A178" s="32"/>
      <c r="B178" s="32"/>
      <c r="C178" s="32"/>
      <c r="D178" s="32"/>
      <c r="E178" s="32"/>
      <c r="F178" s="32"/>
      <c r="G178" s="32"/>
      <c r="H178" s="36"/>
      <c r="I178" s="32"/>
      <c r="J178" s="167"/>
      <c r="K178" s="167"/>
      <c r="L178" s="32"/>
      <c r="M178" s="32"/>
      <c r="N178" s="32"/>
    </row>
    <row r="179" spans="1:14" s="290" customFormat="1" x14ac:dyDescent="0.35">
      <c r="A179" s="32"/>
      <c r="B179" s="32"/>
      <c r="C179" s="32"/>
      <c r="D179" s="32"/>
      <c r="E179" s="32"/>
      <c r="F179" s="32"/>
      <c r="G179" s="32"/>
      <c r="H179" s="36"/>
      <c r="I179" s="32"/>
      <c r="J179" s="167"/>
      <c r="K179" s="167"/>
      <c r="L179" s="32"/>
      <c r="M179" s="32"/>
      <c r="N179" s="32"/>
    </row>
    <row r="180" spans="1:14" s="290" customFormat="1" x14ac:dyDescent="0.35">
      <c r="A180" s="32"/>
      <c r="B180" s="32"/>
      <c r="C180" s="32"/>
      <c r="D180" s="32"/>
      <c r="E180" s="32"/>
      <c r="F180" s="32"/>
      <c r="G180" s="32"/>
      <c r="H180" s="36"/>
      <c r="I180" s="32"/>
      <c r="J180" s="167"/>
      <c r="K180" s="167"/>
      <c r="L180" s="32"/>
      <c r="M180" s="32"/>
      <c r="N180" s="32"/>
    </row>
    <row r="181" spans="1:14" s="290" customFormat="1" x14ac:dyDescent="0.35">
      <c r="A181" s="32"/>
      <c r="B181" s="32"/>
      <c r="C181" s="32"/>
      <c r="D181" s="32"/>
      <c r="E181" s="32"/>
      <c r="F181" s="32"/>
      <c r="G181" s="32"/>
      <c r="H181" s="36"/>
      <c r="I181" s="32"/>
      <c r="J181" s="167"/>
      <c r="K181" s="167"/>
      <c r="L181" s="32"/>
      <c r="M181" s="32"/>
      <c r="N181" s="32"/>
    </row>
    <row r="182" spans="1:14" s="290" customFormat="1" x14ac:dyDescent="0.35">
      <c r="A182" s="32"/>
      <c r="B182" s="32"/>
      <c r="C182" s="32"/>
      <c r="D182" s="32"/>
      <c r="E182" s="32"/>
      <c r="F182" s="32"/>
      <c r="G182" s="32"/>
      <c r="H182" s="36"/>
      <c r="I182" s="32"/>
      <c r="J182" s="167"/>
      <c r="K182" s="167"/>
      <c r="L182" s="32"/>
      <c r="M182" s="32"/>
      <c r="N182" s="32"/>
    </row>
    <row r="183" spans="1:14" s="290" customFormat="1" x14ac:dyDescent="0.35">
      <c r="A183" s="32"/>
      <c r="B183" s="32"/>
      <c r="C183" s="32"/>
      <c r="D183" s="32"/>
      <c r="E183" s="32"/>
      <c r="F183" s="32"/>
      <c r="G183" s="32"/>
      <c r="H183" s="36"/>
      <c r="I183" s="32"/>
      <c r="J183" s="167"/>
      <c r="K183" s="167"/>
      <c r="L183" s="32"/>
      <c r="M183" s="32"/>
      <c r="N183" s="32"/>
    </row>
    <row r="184" spans="1:14" s="290" customFormat="1" x14ac:dyDescent="0.35">
      <c r="A184" s="32"/>
      <c r="B184" s="32"/>
      <c r="C184" s="32"/>
      <c r="D184" s="32"/>
      <c r="E184" s="32"/>
      <c r="F184" s="32"/>
      <c r="G184" s="32"/>
      <c r="H184" s="36"/>
      <c r="I184" s="32"/>
      <c r="J184" s="167"/>
      <c r="K184" s="167"/>
      <c r="L184" s="32"/>
      <c r="M184" s="32"/>
      <c r="N184" s="32"/>
    </row>
    <row r="185" spans="1:14" s="290" customFormat="1" x14ac:dyDescent="0.35">
      <c r="A185" s="32"/>
      <c r="B185" s="32"/>
      <c r="C185" s="32"/>
      <c r="D185" s="32"/>
      <c r="E185" s="32"/>
      <c r="F185" s="32"/>
      <c r="G185" s="32"/>
      <c r="H185" s="36"/>
      <c r="I185" s="32"/>
      <c r="J185" s="167"/>
      <c r="K185" s="167"/>
      <c r="L185" s="32"/>
      <c r="M185" s="32"/>
      <c r="N185" s="32"/>
    </row>
    <row r="186" spans="1:14" s="290" customFormat="1" x14ac:dyDescent="0.35">
      <c r="A186" s="32"/>
      <c r="B186" s="32"/>
      <c r="C186" s="32"/>
      <c r="D186" s="32"/>
      <c r="E186" s="32"/>
      <c r="F186" s="32"/>
      <c r="G186" s="32"/>
      <c r="H186" s="36"/>
      <c r="I186" s="32"/>
      <c r="J186" s="167"/>
      <c r="K186" s="167"/>
      <c r="L186" s="32"/>
      <c r="M186" s="32"/>
      <c r="N186" s="32"/>
    </row>
    <row r="187" spans="1:14" s="290" customFormat="1" x14ac:dyDescent="0.35">
      <c r="A187" s="32"/>
      <c r="B187" s="32"/>
      <c r="C187" s="32"/>
      <c r="D187" s="32"/>
      <c r="E187" s="32"/>
      <c r="F187" s="32"/>
      <c r="G187" s="32"/>
      <c r="H187" s="36"/>
      <c r="I187" s="32"/>
      <c r="J187" s="167"/>
      <c r="K187" s="167"/>
      <c r="L187" s="32"/>
      <c r="M187" s="32"/>
      <c r="N187" s="32"/>
    </row>
    <row r="188" spans="1:14" x14ac:dyDescent="0.35">
      <c r="N188" s="32"/>
    </row>
    <row r="189" spans="1:14" x14ac:dyDescent="0.35">
      <c r="N189" s="32"/>
    </row>
    <row r="190" spans="1:14" x14ac:dyDescent="0.35">
      <c r="N190" s="32"/>
    </row>
    <row r="191" spans="1:14" x14ac:dyDescent="0.35">
      <c r="N191" s="32"/>
    </row>
    <row r="192" spans="1:14" x14ac:dyDescent="0.35">
      <c r="N192" s="32"/>
    </row>
    <row r="193" spans="14:14" x14ac:dyDescent="0.35">
      <c r="N193" s="32"/>
    </row>
    <row r="194" spans="14:14" x14ac:dyDescent="0.35">
      <c r="N194" s="32"/>
    </row>
    <row r="195" spans="14:14" x14ac:dyDescent="0.35">
      <c r="N195" s="32"/>
    </row>
    <row r="196" spans="14:14" x14ac:dyDescent="0.35">
      <c r="N196" s="32"/>
    </row>
    <row r="197" spans="14:14" x14ac:dyDescent="0.35">
      <c r="N197" s="32"/>
    </row>
    <row r="198" spans="14:14" x14ac:dyDescent="0.35">
      <c r="N198" s="32"/>
    </row>
    <row r="199" spans="14:14" x14ac:dyDescent="0.35">
      <c r="N199" s="32"/>
    </row>
    <row r="200" spans="14:14" x14ac:dyDescent="0.35">
      <c r="N200" s="32"/>
    </row>
    <row r="201" spans="14:14" x14ac:dyDescent="0.35">
      <c r="N201" s="32"/>
    </row>
    <row r="202" spans="14:14" x14ac:dyDescent="0.35">
      <c r="N202" s="32"/>
    </row>
    <row r="203" spans="14:14" x14ac:dyDescent="0.35">
      <c r="N203" s="32"/>
    </row>
    <row r="204" spans="14:14" x14ac:dyDescent="0.35">
      <c r="N204" s="32"/>
    </row>
    <row r="205" spans="14:14" x14ac:dyDescent="0.35">
      <c r="N205" s="32"/>
    </row>
    <row r="206" spans="14:14" x14ac:dyDescent="0.35">
      <c r="N206" s="32"/>
    </row>
    <row r="207" spans="14:14" x14ac:dyDescent="0.35">
      <c r="N207" s="32"/>
    </row>
    <row r="208" spans="14:14" x14ac:dyDescent="0.35">
      <c r="N208" s="32"/>
    </row>
    <row r="209" spans="14:14" x14ac:dyDescent="0.35">
      <c r="N209" s="32"/>
    </row>
    <row r="210" spans="14:14" x14ac:dyDescent="0.35">
      <c r="N210" s="32"/>
    </row>
    <row r="211" spans="14:14" x14ac:dyDescent="0.35">
      <c r="N211" s="32"/>
    </row>
    <row r="212" spans="14:14" x14ac:dyDescent="0.35">
      <c r="N212" s="32"/>
    </row>
    <row r="213" spans="14:14" x14ac:dyDescent="0.35">
      <c r="N213" s="32"/>
    </row>
    <row r="214" spans="14:14" x14ac:dyDescent="0.35">
      <c r="N214" s="32"/>
    </row>
    <row r="215" spans="14:14" x14ac:dyDescent="0.35">
      <c r="N215" s="32"/>
    </row>
    <row r="216" spans="14:14" x14ac:dyDescent="0.35">
      <c r="N216" s="32"/>
    </row>
    <row r="217" spans="14:14" x14ac:dyDescent="0.35">
      <c r="N217" s="32"/>
    </row>
    <row r="218" spans="14:14" x14ac:dyDescent="0.35">
      <c r="N218" s="32"/>
    </row>
    <row r="219" spans="14:14" x14ac:dyDescent="0.35">
      <c r="N219" s="32"/>
    </row>
    <row r="220" spans="14:14" x14ac:dyDescent="0.35">
      <c r="N220" s="32"/>
    </row>
    <row r="221" spans="14:14" x14ac:dyDescent="0.35">
      <c r="N221" s="32"/>
    </row>
    <row r="222" spans="14:14" x14ac:dyDescent="0.35">
      <c r="N222" s="32"/>
    </row>
    <row r="223" spans="14:14" x14ac:dyDescent="0.35">
      <c r="N223" s="32"/>
    </row>
    <row r="224" spans="14:14" x14ac:dyDescent="0.35">
      <c r="N224" s="32"/>
    </row>
    <row r="225" spans="14:14" x14ac:dyDescent="0.35">
      <c r="N225" s="32"/>
    </row>
    <row r="226" spans="14:14" x14ac:dyDescent="0.35">
      <c r="N226" s="32"/>
    </row>
    <row r="227" spans="14:14" x14ac:dyDescent="0.35">
      <c r="N227" s="32"/>
    </row>
    <row r="228" spans="14:14" x14ac:dyDescent="0.35">
      <c r="N228" s="32"/>
    </row>
    <row r="229" spans="14:14" x14ac:dyDescent="0.35">
      <c r="N229" s="32"/>
    </row>
    <row r="230" spans="14:14" x14ac:dyDescent="0.35">
      <c r="N230" s="32"/>
    </row>
    <row r="231" spans="14:14" x14ac:dyDescent="0.35">
      <c r="N231" s="32"/>
    </row>
    <row r="232" spans="14:14" x14ac:dyDescent="0.35">
      <c r="N232" s="32"/>
    </row>
    <row r="233" spans="14:14" x14ac:dyDescent="0.35">
      <c r="N233" s="32"/>
    </row>
    <row r="234" spans="14:14" x14ac:dyDescent="0.35">
      <c r="N234" s="32"/>
    </row>
    <row r="235" spans="14:14" x14ac:dyDescent="0.35">
      <c r="N235" s="32"/>
    </row>
    <row r="236" spans="14:14" x14ac:dyDescent="0.35">
      <c r="N236" s="32"/>
    </row>
    <row r="237" spans="14:14" x14ac:dyDescent="0.35">
      <c r="N237" s="32"/>
    </row>
    <row r="238" spans="14:14" x14ac:dyDescent="0.35">
      <c r="N238" s="32"/>
    </row>
    <row r="239" spans="14:14" x14ac:dyDescent="0.35">
      <c r="N239" s="32"/>
    </row>
    <row r="240" spans="14:14" x14ac:dyDescent="0.35">
      <c r="N240" s="32"/>
    </row>
    <row r="241" spans="14:14" x14ac:dyDescent="0.35">
      <c r="N241" s="32"/>
    </row>
    <row r="242" spans="14:14" x14ac:dyDescent="0.35">
      <c r="N242" s="32"/>
    </row>
    <row r="243" spans="14:14" x14ac:dyDescent="0.35">
      <c r="N243" s="32"/>
    </row>
    <row r="244" spans="14:14" x14ac:dyDescent="0.35">
      <c r="N244" s="32"/>
    </row>
    <row r="245" spans="14:14" x14ac:dyDescent="0.35">
      <c r="N245" s="32"/>
    </row>
    <row r="246" spans="14:14" x14ac:dyDescent="0.35">
      <c r="N246" s="32"/>
    </row>
    <row r="247" spans="14:14" x14ac:dyDescent="0.35">
      <c r="N247" s="32"/>
    </row>
    <row r="248" spans="14:14" x14ac:dyDescent="0.35">
      <c r="N248" s="32"/>
    </row>
    <row r="249" spans="14:14" x14ac:dyDescent="0.35">
      <c r="N249" s="32"/>
    </row>
    <row r="250" spans="14:14" x14ac:dyDescent="0.35">
      <c r="N250" s="32"/>
    </row>
    <row r="251" spans="14:14" x14ac:dyDescent="0.35">
      <c r="N251" s="32"/>
    </row>
    <row r="252" spans="14:14" x14ac:dyDescent="0.35">
      <c r="N252" s="32"/>
    </row>
    <row r="253" spans="14:14" x14ac:dyDescent="0.35">
      <c r="N253" s="32"/>
    </row>
    <row r="254" spans="14:14" x14ac:dyDescent="0.35">
      <c r="N254" s="32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5BCF3-E0AE-4C2D-BFDF-DDFB237431E0}">
  <dimension ref="A1"/>
  <sheetViews>
    <sheetView workbookViewId="0"/>
  </sheetViews>
  <sheetFormatPr defaultRowHeight="10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B250-EE30-4813-9C77-D4B96596F260}">
  <dimension ref="A1"/>
  <sheetViews>
    <sheetView workbookViewId="0"/>
  </sheetViews>
  <sheetFormatPr defaultRowHeight="10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28</vt:i4>
      </vt:variant>
      <vt:variant>
        <vt:lpstr>Intervalli denominati</vt:lpstr>
      </vt:variant>
      <vt:variant>
        <vt:i4>50</vt:i4>
      </vt:variant>
    </vt:vector>
  </HeadingPairs>
  <TitlesOfParts>
    <vt:vector size="78" baseType="lpstr">
      <vt:lpstr>Comuni</vt:lpstr>
      <vt:lpstr>PEF-24 Tariffa</vt:lpstr>
      <vt:lpstr>VOLTAGGIO</vt:lpstr>
      <vt:lpstr>VILLAROMAGNANO</vt:lpstr>
      <vt:lpstr>VIGUZZOLO</vt:lpstr>
      <vt:lpstr>TASSAROLO</vt:lpstr>
      <vt:lpstr>SERRAVALLE SCRIVIA</vt:lpstr>
      <vt:lpstr>SARDIGLIANO</vt:lpstr>
      <vt:lpstr>SALE</vt:lpstr>
      <vt:lpstr>PREDOSA</vt:lpstr>
      <vt:lpstr>POZZOLO FORMIGARO</vt:lpstr>
      <vt:lpstr>PONTECURONE</vt:lpstr>
      <vt:lpstr>PASTURANA</vt:lpstr>
      <vt:lpstr>PARODI LIGURE</vt:lpstr>
      <vt:lpstr>MOLINO DEI TORTI</vt:lpstr>
      <vt:lpstr>ISOLA SANT'ANTONIO</vt:lpstr>
      <vt:lpstr>FRESONARA</vt:lpstr>
      <vt:lpstr>FRANCAVILLA BISIO</vt:lpstr>
      <vt:lpstr>FRACONALTO</vt:lpstr>
      <vt:lpstr>CASTELLAZZO BORMIDA</vt:lpstr>
      <vt:lpstr>CASSANO SPINOLA</vt:lpstr>
      <vt:lpstr>CARROSIO</vt:lpstr>
      <vt:lpstr>CAREZZANO</vt:lpstr>
      <vt:lpstr>CAPRIATA D'ORBA</vt:lpstr>
      <vt:lpstr>BASALUZZO</vt:lpstr>
      <vt:lpstr>ALLUVIONI PIOVERA</vt:lpstr>
      <vt:lpstr>Foglio1</vt:lpstr>
      <vt:lpstr>Foglio2</vt:lpstr>
      <vt:lpstr>'ALLUVIONI PIOVERA'!Area_stampa</vt:lpstr>
      <vt:lpstr>BASALUZZO!Area_stampa</vt:lpstr>
      <vt:lpstr>'CAPRIATA D''ORBA'!Area_stampa</vt:lpstr>
      <vt:lpstr>CAREZZANO!Area_stampa</vt:lpstr>
      <vt:lpstr>CARROSIO!Area_stampa</vt:lpstr>
      <vt:lpstr>'CASSANO SPINOLA'!Area_stampa</vt:lpstr>
      <vt:lpstr>'CASTELLAZZO BORMIDA'!Area_stampa</vt:lpstr>
      <vt:lpstr>FRACONALTO!Area_stampa</vt:lpstr>
      <vt:lpstr>'FRANCAVILLA BISIO'!Area_stampa</vt:lpstr>
      <vt:lpstr>FRESONARA!Area_stampa</vt:lpstr>
      <vt:lpstr>'ISOLA SANT''ANTONIO'!Area_stampa</vt:lpstr>
      <vt:lpstr>'MOLINO DEI TORTI'!Area_stampa</vt:lpstr>
      <vt:lpstr>'PARODI LIGURE'!Area_stampa</vt:lpstr>
      <vt:lpstr>PASTURANA!Area_stampa</vt:lpstr>
      <vt:lpstr>'PEF-24 Tariffa'!Area_stampa</vt:lpstr>
      <vt:lpstr>PONTECURONE!Area_stampa</vt:lpstr>
      <vt:lpstr>'POZZOLO FORMIGARO'!Area_stampa</vt:lpstr>
      <vt:lpstr>PREDOSA!Area_stampa</vt:lpstr>
      <vt:lpstr>SALE!Area_stampa</vt:lpstr>
      <vt:lpstr>SARDIGLIANO!Area_stampa</vt:lpstr>
      <vt:lpstr>'SERRAVALLE SCRIVIA'!Area_stampa</vt:lpstr>
      <vt:lpstr>TASSAROLO!Area_stampa</vt:lpstr>
      <vt:lpstr>VIGUZZOLO!Area_stampa</vt:lpstr>
      <vt:lpstr>VILLAROMAGNANO!Area_stampa</vt:lpstr>
      <vt:lpstr>VOLTAGGIO!Area_stampa</vt:lpstr>
      <vt:lpstr>'ALLUVIONI PIOVERA'!Titoli_stampa</vt:lpstr>
      <vt:lpstr>BASALUZZO!Titoli_stampa</vt:lpstr>
      <vt:lpstr>'CAPRIATA D''ORBA'!Titoli_stampa</vt:lpstr>
      <vt:lpstr>CAREZZANO!Titoli_stampa</vt:lpstr>
      <vt:lpstr>CARROSIO!Titoli_stampa</vt:lpstr>
      <vt:lpstr>'CASSANO SPINOLA'!Titoli_stampa</vt:lpstr>
      <vt:lpstr>'CASTELLAZZO BORMIDA'!Titoli_stampa</vt:lpstr>
      <vt:lpstr>FRACONALTO!Titoli_stampa</vt:lpstr>
      <vt:lpstr>'FRANCAVILLA BISIO'!Titoli_stampa</vt:lpstr>
      <vt:lpstr>FRESONARA!Titoli_stampa</vt:lpstr>
      <vt:lpstr>'ISOLA SANT''ANTONIO'!Titoli_stampa</vt:lpstr>
      <vt:lpstr>'MOLINO DEI TORTI'!Titoli_stampa</vt:lpstr>
      <vt:lpstr>'PARODI LIGURE'!Titoli_stampa</vt:lpstr>
      <vt:lpstr>PASTURANA!Titoli_stampa</vt:lpstr>
      <vt:lpstr>'PEF-24 Tariffa'!Titoli_stampa</vt:lpstr>
      <vt:lpstr>PONTECURONE!Titoli_stampa</vt:lpstr>
      <vt:lpstr>'POZZOLO FORMIGARO'!Titoli_stampa</vt:lpstr>
      <vt:lpstr>PREDOSA!Titoli_stampa</vt:lpstr>
      <vt:lpstr>SALE!Titoli_stampa</vt:lpstr>
      <vt:lpstr>SARDIGLIANO!Titoli_stampa</vt:lpstr>
      <vt:lpstr>'SERRAVALLE SCRIVIA'!Titoli_stampa</vt:lpstr>
      <vt:lpstr>TASSAROLO!Titoli_stampa</vt:lpstr>
      <vt:lpstr>VIGUZZOLO!Titoli_stampa</vt:lpstr>
      <vt:lpstr>VILLAROMAGNANO!Titoli_stampa</vt:lpstr>
      <vt:lpstr>VOLTAGGIO!Titoli_stampa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Signorini</dc:creator>
  <cp:lastModifiedBy>Anagrafe</cp:lastModifiedBy>
  <cp:lastPrinted>2021-07-26T07:44:37Z</cp:lastPrinted>
  <dcterms:created xsi:type="dcterms:W3CDTF">2020-04-16T10:58:04Z</dcterms:created>
  <dcterms:modified xsi:type="dcterms:W3CDTF">2021-07-26T07:44:40Z</dcterms:modified>
</cp:coreProperties>
</file>